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noe\Documents\A-Daten\Privat\Corona\15.07.2020\"/>
    </mc:Choice>
  </mc:AlternateContent>
  <xr:revisionPtr revIDLastSave="0" documentId="8_{4588AFB5-5C03-4F18-9256-BD65B719BA30}" xr6:coauthVersionLast="45" xr6:coauthVersionMax="45" xr10:uidLastSave="{00000000-0000-0000-0000-000000000000}"/>
  <bookViews>
    <workbookView xWindow="28680" yWindow="-120" windowWidth="25440" windowHeight="15390" tabRatio="770" activeTab="1" xr2:uid="{00000000-000D-0000-FFFF-FFFF00000000}"/>
  </bookViews>
  <sheets>
    <sheet name="Risikoanalyse" sheetId="14" r:id="rId1"/>
    <sheet name="Querdenken" sheetId="15" r:id="rId2"/>
    <sheet name="Würdigung" sheetId="12" r:id="rId3"/>
    <sheet name="allg.Daten" sheetId="7" state="hidden" r:id="rId4"/>
  </sheets>
  <definedNames>
    <definedName name="_xlnm.Print_Area" localSheetId="1">Querdenken!$B$2:$H$95</definedName>
    <definedName name="_xlnm.Print_Area" localSheetId="0">Risikoanalyse!$B$2:$H$95</definedName>
    <definedName name="Print_Area" localSheetId="3">allg.Daten!$A$2:$I$25</definedName>
    <definedName name="Print_Area" localSheetId="1">Querdenken!$B$2:$H$95</definedName>
    <definedName name="Print_Area" localSheetId="0">Risikoanalyse!$B$2:$H$95</definedName>
    <definedName name="Print_Area" localSheetId="2">Würdigung!$B$2:$E$40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9" i="15" l="1"/>
  <c r="G88" i="15"/>
  <c r="F88" i="15"/>
  <c r="E88" i="15"/>
  <c r="D88" i="15"/>
  <c r="G82" i="15"/>
  <c r="G81" i="15"/>
  <c r="D74" i="15"/>
  <c r="E74" i="15" s="1"/>
  <c r="G73" i="15"/>
  <c r="G69" i="15"/>
  <c r="G75" i="15" s="1"/>
  <c r="D67" i="15"/>
  <c r="F67" i="15" s="1"/>
  <c r="D66" i="15"/>
  <c r="G65" i="15"/>
  <c r="F65" i="15"/>
  <c r="E65" i="15"/>
  <c r="D65" i="15"/>
  <c r="G60" i="15"/>
  <c r="E54" i="15"/>
  <c r="E53" i="15"/>
  <c r="E49" i="15"/>
  <c r="E48" i="15"/>
  <c r="E47" i="15"/>
  <c r="E44" i="15"/>
  <c r="E43" i="15"/>
  <c r="E42" i="15"/>
  <c r="E41" i="15"/>
  <c r="C37" i="15"/>
  <c r="E34" i="15"/>
  <c r="F31" i="15"/>
  <c r="F30" i="15"/>
  <c r="C25" i="15"/>
  <c r="C26" i="15" s="1"/>
  <c r="C27" i="15" s="1"/>
  <c r="C28" i="15" s="1"/>
  <c r="C29" i="15" s="1"/>
  <c r="C30" i="15" s="1"/>
  <c r="C31" i="15" s="1"/>
  <c r="C32" i="15" s="1"/>
  <c r="C33" i="15" s="1"/>
  <c r="E21" i="15"/>
  <c r="F19" i="15"/>
  <c r="F49" i="15" s="1"/>
  <c r="F18" i="15"/>
  <c r="F17" i="15"/>
  <c r="C16" i="15"/>
  <c r="C17" i="15" s="1"/>
  <c r="C18" i="15" s="1"/>
  <c r="C19" i="15" s="1"/>
  <c r="E15" i="15"/>
  <c r="E14" i="15"/>
  <c r="E10" i="15"/>
  <c r="C9" i="15"/>
  <c r="F47" i="15" l="1"/>
  <c r="F74" i="15"/>
  <c r="D68" i="15"/>
  <c r="F20" i="15"/>
  <c r="G20" i="15" s="1"/>
  <c r="F32" i="15"/>
  <c r="E32" i="15" s="1"/>
  <c r="E55" i="15" s="1"/>
  <c r="E56" i="15" s="1"/>
  <c r="F48" i="15"/>
  <c r="E50" i="15"/>
  <c r="F50" i="15" s="1"/>
  <c r="F53" i="15"/>
  <c r="F54" i="15"/>
  <c r="E66" i="15"/>
  <c r="F66" i="15"/>
  <c r="F68" i="15" s="1"/>
  <c r="E67" i="15"/>
  <c r="D90" i="15"/>
  <c r="E90" i="15"/>
  <c r="F90" i="15"/>
  <c r="D67" i="14"/>
  <c r="D66" i="14"/>
  <c r="F66" i="14" s="1"/>
  <c r="E68" i="15" l="1"/>
  <c r="F33" i="15"/>
  <c r="G33" i="15" s="1"/>
  <c r="F55" i="15"/>
  <c r="D60" i="15"/>
  <c r="F56" i="15"/>
  <c r="E66" i="14"/>
  <c r="D74" i="14"/>
  <c r="E74" i="14" s="1"/>
  <c r="F60" i="15" l="1"/>
  <c r="E60" i="15"/>
  <c r="D61" i="15"/>
  <c r="D62" i="15" s="1"/>
  <c r="F74" i="14"/>
  <c r="G88" i="14"/>
  <c r="G82" i="14"/>
  <c r="D69" i="15" l="1"/>
  <c r="D70" i="15" s="1"/>
  <c r="D75" i="15"/>
  <c r="D76" i="15" s="1"/>
  <c r="E61" i="15"/>
  <c r="E62" i="15" s="1"/>
  <c r="F61" i="15"/>
  <c r="F62" i="15" s="1"/>
  <c r="E88" i="14"/>
  <c r="F88" i="14"/>
  <c r="D88" i="14"/>
  <c r="F65" i="14"/>
  <c r="E65" i="14"/>
  <c r="D65" i="14"/>
  <c r="E69" i="15" l="1"/>
  <c r="E70" i="15" s="1"/>
  <c r="E75" i="15"/>
  <c r="E76" i="15" s="1"/>
  <c r="F69" i="15"/>
  <c r="F70" i="15" s="1"/>
  <c r="F75" i="15"/>
  <c r="F76" i="15" s="1"/>
  <c r="D82" i="15"/>
  <c r="D77" i="15"/>
  <c r="G73" i="14"/>
  <c r="F82" i="15" l="1"/>
  <c r="F77" i="15"/>
  <c r="D83" i="15"/>
  <c r="E82" i="15"/>
  <c r="E77" i="15"/>
  <c r="G89" i="14"/>
  <c r="F83" i="15" l="1"/>
  <c r="F84" i="15" s="1"/>
  <c r="E83" i="15"/>
  <c r="E84" i="15" s="1"/>
  <c r="D84" i="15"/>
  <c r="C37" i="14"/>
  <c r="F89" i="15" l="1"/>
  <c r="F91" i="15" s="1"/>
  <c r="F85" i="15"/>
  <c r="E89" i="15"/>
  <c r="E91" i="15" s="1"/>
  <c r="E85" i="15"/>
  <c r="D89" i="15"/>
  <c r="D91" i="15" s="1"/>
  <c r="D85" i="15"/>
  <c r="E44" i="14"/>
  <c r="E43" i="14"/>
  <c r="E41" i="14"/>
  <c r="E34" i="14"/>
  <c r="E42" i="14"/>
  <c r="E47" i="14"/>
  <c r="E48" i="14"/>
  <c r="E49" i="14"/>
  <c r="E53" i="14"/>
  <c r="E54" i="14"/>
  <c r="G60" i="14"/>
  <c r="G65" i="14"/>
  <c r="G69" i="14"/>
  <c r="G75" i="14" s="1"/>
  <c r="G81" i="14"/>
  <c r="E21" i="14"/>
  <c r="E10" i="14"/>
  <c r="C9" i="14"/>
  <c r="C16" i="14"/>
  <c r="C17" i="14" s="1"/>
  <c r="C18" i="14" s="1"/>
  <c r="C19" i="14" s="1"/>
  <c r="F17" i="14"/>
  <c r="F18" i="14"/>
  <c r="F19" i="14"/>
  <c r="F49" i="14" s="1"/>
  <c r="C25" i="14"/>
  <c r="C26" i="14" s="1"/>
  <c r="C27" i="14" s="1"/>
  <c r="C28" i="14" s="1"/>
  <c r="C29" i="14" s="1"/>
  <c r="C30" i="14" s="1"/>
  <c r="C31" i="14" s="1"/>
  <c r="C32" i="14" s="1"/>
  <c r="C33" i="14" s="1"/>
  <c r="F30" i="14"/>
  <c r="F31" i="14"/>
  <c r="E94" i="15" l="1"/>
  <c r="E92" i="15"/>
  <c r="E93" i="15" s="1"/>
  <c r="D94" i="15"/>
  <c r="D92" i="15"/>
  <c r="D93" i="15" s="1"/>
  <c r="F94" i="15"/>
  <c r="F92" i="15"/>
  <c r="F93" i="15" s="1"/>
  <c r="E67" i="14"/>
  <c r="E68" i="14" s="1"/>
  <c r="F54" i="14"/>
  <c r="E90" i="14"/>
  <c r="F90" i="14"/>
  <c r="D90" i="14"/>
  <c r="E50" i="14"/>
  <c r="F50" i="14" s="1"/>
  <c r="F53" i="14"/>
  <c r="F47" i="14"/>
  <c r="D68" i="14"/>
  <c r="F48" i="14"/>
  <c r="F67" i="14"/>
  <c r="F32" i="14"/>
  <c r="F20" i="14"/>
  <c r="G20" i="14" s="1"/>
  <c r="D40" i="12"/>
  <c r="F68" i="14" l="1"/>
  <c r="E32" i="14"/>
  <c r="E55" i="14" s="1"/>
  <c r="E56" i="14" s="1"/>
  <c r="F55" i="14"/>
  <c r="F33" i="14"/>
  <c r="G33" i="14" s="1"/>
  <c r="E8" i="7"/>
  <c r="H8" i="7" s="1"/>
  <c r="E9" i="7"/>
  <c r="H9" i="7" s="1"/>
  <c r="E10" i="7"/>
  <c r="H10" i="7" s="1"/>
  <c r="E11" i="7"/>
  <c r="H11" i="7" s="1"/>
  <c r="E12" i="7"/>
  <c r="H12" i="7" s="1"/>
  <c r="E13" i="7"/>
  <c r="H13" i="7" s="1"/>
  <c r="E14" i="7"/>
  <c r="F14" i="7" s="1"/>
  <c r="E15" i="7"/>
  <c r="F15" i="7" s="1"/>
  <c r="E16" i="7"/>
  <c r="H16" i="7" s="1"/>
  <c r="E17" i="7"/>
  <c r="E18" i="7"/>
  <c r="E19" i="7"/>
  <c r="E20" i="7"/>
  <c r="E21" i="7"/>
  <c r="E22" i="7"/>
  <c r="E23" i="7"/>
  <c r="E7" i="7"/>
  <c r="H7" i="7" s="1"/>
  <c r="F56" i="14" l="1"/>
  <c r="D60" i="14"/>
  <c r="F13" i="7"/>
  <c r="F9" i="7"/>
  <c r="H15" i="7"/>
  <c r="H14" i="7"/>
  <c r="F11" i="7"/>
  <c r="F12" i="7"/>
  <c r="F10" i="7"/>
  <c r="F16" i="7"/>
  <c r="D61" i="14" l="1"/>
  <c r="D62" i="14" s="1"/>
  <c r="D75" i="14" s="1"/>
  <c r="E60" i="14"/>
  <c r="F60" i="14"/>
  <c r="G24" i="7"/>
  <c r="F18" i="7"/>
  <c r="F19" i="7"/>
  <c r="F21" i="7"/>
  <c r="F22" i="7"/>
  <c r="F23" i="7"/>
  <c r="D69" i="14" l="1"/>
  <c r="D70" i="14" s="1"/>
  <c r="D76" i="14" s="1"/>
  <c r="E61" i="14"/>
  <c r="E62" i="14" s="1"/>
  <c r="E75" i="14" s="1"/>
  <c r="E76" i="14" s="1"/>
  <c r="F61" i="14"/>
  <c r="F62" i="14" s="1"/>
  <c r="F75" i="14" s="1"/>
  <c r="F76" i="14" s="1"/>
  <c r="H23" i="7"/>
  <c r="H22" i="7"/>
  <c r="H21" i="7"/>
  <c r="H20" i="7"/>
  <c r="H19" i="7"/>
  <c r="H18" i="7"/>
  <c r="H17" i="7"/>
  <c r="E82" i="14" l="1"/>
  <c r="D77" i="14"/>
  <c r="D82" i="14"/>
  <c r="D83" i="14" s="1"/>
  <c r="F83" i="14" s="1"/>
  <c r="E69" i="14"/>
  <c r="E70" i="14" s="1"/>
  <c r="E77" i="14" s="1"/>
  <c r="F69" i="14"/>
  <c r="F70" i="14" s="1"/>
  <c r="H24" i="7"/>
  <c r="E15" i="14" s="1"/>
  <c r="F77" i="14" l="1"/>
  <c r="F82" i="14"/>
  <c r="E83" i="14"/>
  <c r="E84" i="14" s="1"/>
  <c r="D84" i="14"/>
  <c r="D89" i="14" s="1"/>
  <c r="D91" i="14" s="1"/>
  <c r="D92" i="14" s="1"/>
  <c r="D93" i="14" s="1"/>
  <c r="D23" i="7"/>
  <c r="D22" i="7"/>
  <c r="D21" i="7"/>
  <c r="D20" i="7"/>
  <c r="D19" i="7"/>
  <c r="D18" i="7"/>
  <c r="D17" i="7"/>
  <c r="D16" i="7"/>
  <c r="D15" i="7"/>
  <c r="D14" i="7"/>
  <c r="D13" i="7"/>
  <c r="D12" i="7"/>
  <c r="D10" i="7"/>
  <c r="D9" i="7"/>
  <c r="D8" i="7"/>
  <c r="D11" i="7"/>
  <c r="D94" i="14" l="1"/>
  <c r="D85" i="14"/>
  <c r="E85" i="14"/>
  <c r="E89" i="14"/>
  <c r="E91" i="14" s="1"/>
  <c r="F84" i="14"/>
  <c r="F89" i="14" s="1"/>
  <c r="F91" i="14" s="1"/>
  <c r="F20" i="7"/>
  <c r="F8" i="7"/>
  <c r="F17" i="7"/>
  <c r="E92" i="14" l="1"/>
  <c r="E93" i="14" s="1"/>
  <c r="E94" i="14"/>
  <c r="F92" i="14"/>
  <c r="F93" i="14" s="1"/>
  <c r="F94" i="14"/>
  <c r="F85" i="14"/>
  <c r="F24" i="7"/>
  <c r="E14" i="14" s="1"/>
</calcChain>
</file>

<file path=xl/sharedStrings.xml><?xml version="1.0" encoding="utf-8"?>
<sst xmlns="http://schemas.openxmlformats.org/spreadsheetml/2006/main" count="386" uniqueCount="166">
  <si>
    <t>:</t>
  </si>
  <si>
    <t>=</t>
  </si>
  <si>
    <t>-</t>
  </si>
  <si>
    <t>x</t>
  </si>
  <si>
    <t>Anzahl Tage pro Jahr</t>
  </si>
  <si>
    <t>R=1,0</t>
  </si>
  <si>
    <t>R=0,5</t>
  </si>
  <si>
    <t>R=2,0</t>
  </si>
  <si>
    <t xml:space="preserve">   </t>
  </si>
  <si>
    <t>corona.rki.de</t>
  </si>
  <si>
    <t>eingeben</t>
  </si>
  <si>
    <t>klicken</t>
  </si>
  <si>
    <t>Reproduktionswert (Anzahl von Menschen, die ein Infizierter neu infiziert)</t>
  </si>
  <si>
    <t>Würdigung der Ergebnisse</t>
  </si>
  <si>
    <t>RKI-Covid-19-Dashboard: Mängel in der Datendarstellung</t>
  </si>
  <si>
    <t>Anzahl bekannter aktiv-infektiöser Menschen (ohne Infektionsgefahr, da in Quarantäne)</t>
  </si>
  <si>
    <t>Anzahl unbekannter aktiv-infektiöser Menschen (mit Infektionsgefahr, da nicht in Quarantäne)</t>
  </si>
  <si>
    <t>Einwohnerzahl</t>
  </si>
  <si>
    <t>Anteil Todesfälle</t>
  </si>
  <si>
    <t>Grafiken: Alle</t>
  </si>
  <si>
    <t>Grafik: Startseite</t>
  </si>
  <si>
    <t>Angabe fehlt: Anzahl bekannte aktiv infektiöse Infizierte (=ohne Infektionsgefahr)</t>
  </si>
  <si>
    <t>Angabe fehlt: keine Schätzung unbekannten aktiv infektiöse Infizierte (=mit Infektionsgefahr)</t>
  </si>
  <si>
    <t>Angabe fehlt: Anzahl Genesene</t>
  </si>
  <si>
    <t>Angabe fehlt: Einwohneranzahl Deutschland</t>
  </si>
  <si>
    <t xml:space="preserve">Angabe fehlt: Risikoanalyse </t>
  </si>
  <si>
    <t>Vorbemerkung</t>
  </si>
  <si>
    <t>Ich unterstelle, dass die veröffentlichten Daten des RKI ohne wertrelevante Fehler sind.</t>
  </si>
  <si>
    <t>1. In allen Grafiken fehlen wesentliche Kennziffern, die für eine sachgerechte Beurteilung der Datenlage unumgänglich sind.</t>
  </si>
  <si>
    <t>2. Insbesondere fehlen Angaben zu der maßgeblichen Risikoquelle, nämlich der Anzahl der aktiv infektiösen Infizierten.</t>
  </si>
  <si>
    <t>3. Eine vollständige Feststellung der bloßen Faktenlage ist daher ohne zusätzliche "Nebenrechnungen" nicht möglich.</t>
  </si>
  <si>
    <t>4. Die gewählte Darstellung ist bei wesentlichen Daten unvollständig.</t>
  </si>
  <si>
    <t>5. Eine auch nur näherungsweise Abschätzung des jeweils aktuellen Infektionsrisikos bzw. Sterberisikos fehlt komplett.</t>
  </si>
  <si>
    <t>Sie ist ungeeignet Klarheit über die tatsächliche Faktenlage und das aktuelle Infektionsrisiko zu erhalten.</t>
  </si>
  <si>
    <t>1. Die Erklärung der zuständigen Behörden, dass die "epidemische Lage mit nationaler Tragweite" vorüber ist.</t>
  </si>
  <si>
    <t>3. Die zeitnahe Rückkehr zu "normalen" Lebensverhältnissen für alle Bürger, Unternehmen und Organisationen.</t>
  </si>
  <si>
    <t>2. Die sofortige und ausnahmslose Rücknahme aller gesetzlich verordneten "Schutzmaßnahmen".</t>
  </si>
  <si>
    <t>Bundesland</t>
  </si>
  <si>
    <t>Baden-Württemberg</t>
  </si>
  <si>
    <t>Bayern</t>
  </si>
  <si>
    <t>Niedersachsen</t>
  </si>
  <si>
    <t>Hessen</t>
  </si>
  <si>
    <t>Berlin</t>
  </si>
  <si>
    <t>Rheinland-Pfalz</t>
  </si>
  <si>
    <t>Sachsen</t>
  </si>
  <si>
    <t>Hamburg</t>
  </si>
  <si>
    <t>Brandenburg</t>
  </si>
  <si>
    <t>Thüringen</t>
  </si>
  <si>
    <t>Sachsen-Anhalt</t>
  </si>
  <si>
    <t>Bremen</t>
  </si>
  <si>
    <t>Mecklenburg-Vorpommern</t>
  </si>
  <si>
    <t>Saarland</t>
  </si>
  <si>
    <t>Schleswig-Holstein</t>
  </si>
  <si>
    <t>km²</t>
  </si>
  <si>
    <t>Quelle</t>
  </si>
  <si>
    <t>NRW</t>
  </si>
  <si>
    <t>Kürzel</t>
  </si>
  <si>
    <t>Land</t>
  </si>
  <si>
    <t>Destatis</t>
  </si>
  <si>
    <t>Siedlungs-</t>
  </si>
  <si>
    <t>2.2.</t>
  </si>
  <si>
    <t xml:space="preserve">Die Darstellung ist in wesentlichen Eingabedaten unvollständig und bezüglich der benötigten Aussagefähigkeit intransparent. </t>
  </si>
  <si>
    <t>2. Es ist sachlich nicht nachvollziehbar ist, warum diese Größenordnung aktuell als "epidemische Lage mit nationaler Tragweite" klassifiziert ist.</t>
  </si>
  <si>
    <t>5. Mein rechnerisches zeitliches Sterberisiko liegt durchschnittlich bei vielen Jahren und ist somit sehr gering.</t>
  </si>
  <si>
    <t>3. Der räumliche Bereich in dem sich 1 infektiöser Infizierter befindet ist sehr groß. Mein räumliches Begegnungsrisiko ist somit sehr gering.</t>
  </si>
  <si>
    <t>4. Der Zeitraum in dem ich auf 1 infektiösen Infizierten treffen kann ist sehr lang. Mein zeitliches Begegnungsrisiko ist somit sehr gering.</t>
  </si>
  <si>
    <t>6. Mein Infektions- und das Sterberisiko ist daher insgesamt "sehr gering", anders ausgedrückt "sehr unwahrscheinlich".</t>
  </si>
  <si>
    <t>7. Ein besonderes Gefährdungsrisiko, das über meine normalen Lebensrisiken hinausgeht, ist für mich weder erkennbar noch logisch fehlerfrei ableitbar.</t>
  </si>
  <si>
    <t xml:space="preserve">8. Es gibt für mich daher keinen sachlichen Grund mehr mich vor einer Infektion mi Covid-19-zu fürchten. </t>
  </si>
  <si>
    <t>9.  Ich kann nicht erkennen welche Sinn Schutzmaßnahmen für mich haben sollen, wenn ich fast keine Chance habe einem Infizierten zu begegnen.</t>
  </si>
  <si>
    <t>10. Diese Erkenntnisse gelten nicht nur für mich persönlich, sondern lassen sich berechtigt auf die gesamte Bevölkerung übertragen.</t>
  </si>
  <si>
    <t>Mein Fazit lautet daher</t>
  </si>
  <si>
    <t>Die aktuelle Datenlage enthält für mich keine sachlichen Argumente, um Angst vor einer Infektion mit Covid-19 haben zu können.</t>
  </si>
  <si>
    <t>Die amtliche Klassifizierung "epidemische Lage mit nationaler Tragweite" lässt sich nicht sachlich aus der Datenlage begründen.</t>
  </si>
  <si>
    <t>Die Fortführung von Schutzmaßnahmen aller Art ist für mich sachlich nicht nachvollziehbar. Logisch folgerichtig wäre vielmehr:</t>
  </si>
  <si>
    <t>Wikipedia</t>
  </si>
  <si>
    <t>Bundesland: Fälle total</t>
  </si>
  <si>
    <t>Bundesland: Todesfälle</t>
  </si>
  <si>
    <t>Bundesland: Genesene</t>
  </si>
  <si>
    <t>Landkreis oder Stadt: Fälle total</t>
  </si>
  <si>
    <t>Landkreis oder Stadt: Todesfälle</t>
  </si>
  <si>
    <t>Landkreis oder Stadt: Genesene</t>
  </si>
  <si>
    <t>Schätzung</t>
  </si>
  <si>
    <t>Siedl.-</t>
  </si>
  <si>
    <t>flächen</t>
  </si>
  <si>
    <t>%</t>
  </si>
  <si>
    <t>km² Flächen gesamt</t>
  </si>
  <si>
    <t>km² Siedlungsflächen</t>
  </si>
  <si>
    <t>Grafik: Landkreise</t>
  </si>
  <si>
    <t>Baden-W.</t>
  </si>
  <si>
    <t>Meckl.-V.</t>
  </si>
  <si>
    <t>Nieders.</t>
  </si>
  <si>
    <t>Rheinl.-P.</t>
  </si>
  <si>
    <t>Sachs.-A.</t>
  </si>
  <si>
    <t>Schl.-Hol.</t>
  </si>
  <si>
    <t>Brandenb.</t>
  </si>
  <si>
    <t>1. Die tatsächlich aktive Infektionszahl liegt im Verhältnis zur Gesamteinwohnerzahl deutlich unter 0,1 % und ist daher als sehr niedrig zu bezeichnen.</t>
  </si>
  <si>
    <t>Landkreis, Stadt</t>
  </si>
  <si>
    <t>Bundesländer</t>
  </si>
  <si>
    <t>Anteil der Siedlungsflächen an Flächen gesamt</t>
  </si>
  <si>
    <t>auswählen</t>
  </si>
  <si>
    <t>Auswahlliste</t>
  </si>
  <si>
    <t>I.</t>
  </si>
  <si>
    <t>II.</t>
  </si>
  <si>
    <t>III.</t>
  </si>
  <si>
    <t>Geben Sie das aktuelle "Datum" ein.</t>
  </si>
  <si>
    <t>Datum</t>
  </si>
  <si>
    <t>Anzahl</t>
  </si>
  <si>
    <t>Klicken Sie auf den Link. Suchen Sie auf Wikipedia nach Ihrem Landkreis bzw. Ihrer Stadt. Entnehmen Sie dort die folgenden Daten</t>
  </si>
  <si>
    <t>Geben Sie die "Einwohnerzahl" Ihres Landkreises bzw. Ihrer Stadt ein. (Steht im Kasten rechts bei Wikipedia.)</t>
  </si>
  <si>
    <t>Klicken Sie auf den Link und gehen Sie zum RKI-Dashboard. Entnehmen Sie dort die folgenden Daten für Ihren Landkreis bzw. Stadt.</t>
  </si>
  <si>
    <t>Die "Einwohnerzahl" wird automatisch eingetragen.</t>
  </si>
  <si>
    <t>Klicken Sie auf den Link und öffen Sie das RKI-Dashboard. Entnehmen Sie dort die folgenden Daten für Ihr Bundesland</t>
  </si>
  <si>
    <t>Wählen Sie Ihr Bundesland und geben Sie die notwendigen Daten aus dem RKI-Dashboard ein</t>
  </si>
  <si>
    <t>Die Größe der "Siedlungsgebietflächen" wird automatisch eingetragen.</t>
  </si>
  <si>
    <t>Geben Sie die "Fläche in km²" Ihres Landkreises bzw. Ihrer Stadt ein. (Steht im Kasten rechts bei Wikipedia.)</t>
  </si>
  <si>
    <t>Geben Sie den "Anteil des Siedlungsgebiets" in Prozent von dieser km²-Zahl ein. (Schätzen Sie frei oder holen Sie eine Auskunft ein.)</t>
  </si>
  <si>
    <t>Klicken Sie auf das grüne Feld, dann auf das kleine, graue Dreieck rechts daneben. Wählen Sie in der Auswahliste Ihr Bundesland aus.</t>
  </si>
  <si>
    <t>Geben Sie die Anzahl "Fälle total" aus dem RKI-Dashboard ein.</t>
  </si>
  <si>
    <t>Geben Sie die Anzahl "Todesfälle" aus dem RKI-Dashboard ein.</t>
  </si>
  <si>
    <t>Die Zahl "Genesene" wird automatisch geschätzt.</t>
  </si>
  <si>
    <t>RKI-Dashboard</t>
  </si>
  <si>
    <t>Geben Sie den Namen Ihres Landkreises bzw. Stadt ein. (Sie können auch eigene Kürzel verwenden.)</t>
  </si>
  <si>
    <t>tägl. Kontakte</t>
  </si>
  <si>
    <t>Autor: www.uwe-loose.de</t>
  </si>
  <si>
    <t xml:space="preserve">Dateneingabe </t>
  </si>
  <si>
    <t xml:space="preserve">Anzahl bekannter infektiöser Menschen </t>
  </si>
  <si>
    <t>1.1.</t>
  </si>
  <si>
    <t>1.2.</t>
  </si>
  <si>
    <t>1.3.</t>
  </si>
  <si>
    <t>Anzahl unbekannter infektiöser Menschen</t>
  </si>
  <si>
    <t>im Bundesland in Quarantäne, d.h. ohne Infektionsgefahr</t>
  </si>
  <si>
    <t>im Landkreis, Stadt in Quarantäne, d.h. ohne Infektionsgefahr</t>
  </si>
  <si>
    <t>im Landkreis, Stadt nicht in Quarantäne, d.h. mit Infektionsgefahr</t>
  </si>
  <si>
    <t xml:space="preserve">Größe der Einwohnergruppe </t>
  </si>
  <si>
    <t xml:space="preserve">Größe des Siedlungsgebietes </t>
  </si>
  <si>
    <t>3.1.</t>
  </si>
  <si>
    <t>3.2.</t>
  </si>
  <si>
    <t>räumliches Gebiet</t>
  </si>
  <si>
    <t>Füllen Sie die grünen Felder von Oben nach Unten aus</t>
  </si>
  <si>
    <t>Aktuelles Datum und Anzahl Ihrer persönlichen Nahkontakte eintragen</t>
  </si>
  <si>
    <t>Tragen Sie die Anzahl "Fälle total" aus dem RKI-Dashboard ein.</t>
  </si>
  <si>
    <t>Tragen Sie die Anzahl "Todesfälle total" aus dem RKI-Dashboard ein.</t>
  </si>
  <si>
    <t>Tragen Sie die Anzahl "Genesene" aus dem RKI-Dashboard ein.</t>
  </si>
  <si>
    <t>Geben Sie die notwendigen Daten Ihren Landkreis bzw. Stadt und aus dem RKI-Dashboard ein</t>
  </si>
  <si>
    <t>(auf Basis der tagesaktuellen RKI-Daten und nur gültig bis zur Veröffentlichung der nächsten RKI-Daten)</t>
  </si>
  <si>
    <t>Schätzen Sie die Anzahl der Nahkontakte (&lt; als 1,5 m) zu Menschen (außerhalb Ihrer Wohnung), die Sie "Heute" vermutlich haben werden.</t>
  </si>
  <si>
    <t>Schätzung meines persönlichen Covid-19 Infektions- und Sterberisikos (für "Heute") - Lightversion</t>
  </si>
  <si>
    <t>Szenarien für den Reproduktionsfaktor (bis zur Veröffentlichung der nächsten RKI-Daten, d.h. "Morgen")</t>
  </si>
  <si>
    <t xml:space="preserve">Mein Infektionsrisiko für "Heute" </t>
  </si>
  <si>
    <t>Mein Sterberisiko für "Heute"</t>
  </si>
  <si>
    <t>Anzahl der Tage bis die Anzahl der unbekannten infektiösen Kontakte so groß wäre, dass rechnerisch mein Todesfall zu erwarten ist</t>
  </si>
  <si>
    <t>Anzahl der Jahre bis die Anzahl der unbekannten infektiösen Kontakte so groß wäre, dass rechnerisch mein Todesfall zu erwarten ist</t>
  </si>
  <si>
    <t>Größe der Einwohnergruppe in der sich durchschnittlich je 1 unbekannter infektiöser Mensch befindet</t>
  </si>
  <si>
    <t>in der sich durchschnittlich je 1 unbekannter infektiöser Mensch befindet</t>
  </si>
  <si>
    <t>km² Siedlungsgebiet in dem sich durchschnittlich je 1 unbekannter infektiöser Mensch befindet</t>
  </si>
  <si>
    <t>Anzahl von Tagen, die ich durchschnittlich benötigen würde, um mit 1 unbekannten infektiösen Menschen in Nahkontakt (&lt;1,5 m) zu kommen</t>
  </si>
  <si>
    <t>Anteil der unbekannt infektiösen Menschen an der Einwohnergruppe</t>
  </si>
  <si>
    <t>geschätzte Anzahl der Nahkontakte (&lt;1,5 m), die ich "Heute" haben werde</t>
  </si>
  <si>
    <t>Mein Infektionsrisiko für "Heute" (= meine Anzahl von Nahkontakten "Heute" : Größe der Einwohnergruppe)</t>
  </si>
  <si>
    <t>Mein Sterberisiko für "Heute" (= Mein Infektionsrisiko für "Heute" x Anteil Todesfälle)</t>
  </si>
  <si>
    <t>in Jahren (kalkulatorisch) und Prozent</t>
  </si>
  <si>
    <t>in Tagen (kalkulatorisch) und Prozent</t>
  </si>
  <si>
    <t>Siedlungsfläche in km², in der sich im Durchschnitt je 1 unbekannter infektiöser Mensch befindet</t>
  </si>
  <si>
    <t>Karlsruhe</t>
  </si>
  <si>
    <t>Ostallgäu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</si>
</sst>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%"/>
  </numFmts>
  <fonts count="2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4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4"/>
      <name val="Arial"/>
      <family val="2"/>
    </font>
    <font>
      <b/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2"/>
      <color theme="4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0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0" fontId="6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</cellStyleXfs>
  <cellXfs count="218">
    <xf numFmtId="0" fontId="0" fillId="0" borderId="0" xfId="0"/>
    <xf numFmtId="3" fontId="5" fillId="2" borderId="0" xfId="0" applyNumberFormat="1" applyFont="1" applyFill="1" applyBorder="1" applyProtection="1">
      <protection locked="0"/>
    </xf>
    <xf numFmtId="3" fontId="8" fillId="2" borderId="0" xfId="0" applyNumberFormat="1" applyFont="1" applyFill="1" applyBorder="1" applyProtection="1">
      <protection locked="0"/>
    </xf>
    <xf numFmtId="3" fontId="6" fillId="2" borderId="11" xfId="0" applyNumberFormat="1" applyFont="1" applyFill="1" applyBorder="1" applyProtection="1"/>
    <xf numFmtId="3" fontId="6" fillId="2" borderId="12" xfId="0" applyNumberFormat="1" applyFont="1" applyFill="1" applyBorder="1" applyProtection="1"/>
    <xf numFmtId="10" fontId="6" fillId="2" borderId="12" xfId="0" applyNumberFormat="1" applyFont="1" applyFill="1" applyBorder="1" applyProtection="1"/>
    <xf numFmtId="4" fontId="6" fillId="2" borderId="12" xfId="0" applyNumberFormat="1" applyFont="1" applyFill="1" applyBorder="1" applyProtection="1"/>
    <xf numFmtId="0" fontId="0" fillId="4" borderId="0" xfId="0" applyFill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/>
    <xf numFmtId="0" fontId="0" fillId="2" borderId="0" xfId="0" applyFont="1" applyFill="1" applyBorder="1" applyAlignment="1" applyProtection="1">
      <alignment horizontal="center"/>
      <protection locked="0"/>
    </xf>
    <xf numFmtId="4" fontId="11" fillId="2" borderId="12" xfId="0" applyNumberFormat="1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3" fontId="2" fillId="2" borderId="0" xfId="0" applyNumberFormat="1" applyFont="1" applyFill="1" applyBorder="1" applyProtection="1"/>
    <xf numFmtId="3" fontId="11" fillId="2" borderId="0" xfId="0" applyNumberFormat="1" applyFont="1" applyFill="1" applyBorder="1" applyProtection="1"/>
    <xf numFmtId="0" fontId="2" fillId="5" borderId="0" xfId="0" applyFont="1" applyFill="1" applyBorder="1" applyAlignment="1" applyProtection="1">
      <alignment horizontal="right"/>
    </xf>
    <xf numFmtId="0" fontId="2" fillId="6" borderId="0" xfId="0" applyFont="1" applyFill="1" applyBorder="1" applyAlignment="1" applyProtection="1">
      <alignment horizontal="right"/>
    </xf>
    <xf numFmtId="0" fontId="2" fillId="7" borderId="0" xfId="0" applyFont="1" applyFill="1" applyBorder="1" applyAlignment="1" applyProtection="1">
      <alignment horizontal="right"/>
    </xf>
    <xf numFmtId="3" fontId="6" fillId="2" borderId="0" xfId="0" applyNumberFormat="1" applyFont="1" applyFill="1" applyBorder="1" applyProtection="1">
      <protection locked="0"/>
    </xf>
    <xf numFmtId="3" fontId="6" fillId="2" borderId="1" xfId="0" applyNumberFormat="1" applyFont="1" applyFill="1" applyBorder="1" applyProtection="1"/>
    <xf numFmtId="10" fontId="6" fillId="2" borderId="4" xfId="0" applyNumberFormat="1" applyFont="1" applyFill="1" applyBorder="1" applyProtection="1"/>
    <xf numFmtId="3" fontId="6" fillId="2" borderId="8" xfId="0" applyNumberFormat="1" applyFont="1" applyFill="1" applyBorder="1" applyAlignment="1" applyProtection="1">
      <alignment horizontal="right"/>
    </xf>
    <xf numFmtId="3" fontId="6" fillId="2" borderId="15" xfId="0" applyNumberFormat="1" applyFont="1" applyFill="1" applyBorder="1" applyAlignment="1" applyProtection="1">
      <alignment horizontal="right"/>
    </xf>
    <xf numFmtId="4" fontId="6" fillId="2" borderId="12" xfId="0" applyNumberFormat="1" applyFont="1" applyFill="1" applyBorder="1" applyAlignment="1" applyProtection="1">
      <alignment horizontal="right"/>
    </xf>
    <xf numFmtId="3" fontId="6" fillId="2" borderId="4" xfId="0" applyNumberFormat="1" applyFont="1" applyFill="1" applyBorder="1" applyProtection="1"/>
    <xf numFmtId="0" fontId="0" fillId="2" borderId="0" xfId="0" applyFill="1" applyBorder="1"/>
    <xf numFmtId="3" fontId="6" fillId="2" borderId="11" xfId="0" applyNumberFormat="1" applyFont="1" applyFill="1" applyBorder="1" applyAlignment="1" applyProtection="1">
      <alignment horizontal="right"/>
    </xf>
    <xf numFmtId="3" fontId="6" fillId="2" borderId="12" xfId="0" applyNumberFormat="1" applyFont="1" applyFill="1" applyBorder="1" applyAlignment="1" applyProtection="1">
      <alignment horizontal="right"/>
    </xf>
    <xf numFmtId="3" fontId="11" fillId="2" borderId="12" xfId="0" applyNumberFormat="1" applyFont="1" applyFill="1" applyBorder="1" applyAlignment="1" applyProtection="1"/>
    <xf numFmtId="0" fontId="16" fillId="2" borderId="1" xfId="0" applyFont="1" applyFill="1" applyBorder="1"/>
    <xf numFmtId="0" fontId="16" fillId="2" borderId="8" xfId="0" applyFont="1" applyFill="1" applyBorder="1"/>
    <xf numFmtId="0" fontId="16" fillId="2" borderId="4" xfId="0" applyFont="1" applyFill="1" applyBorder="1"/>
    <xf numFmtId="0" fontId="0" fillId="2" borderId="0" xfId="0" applyFill="1"/>
    <xf numFmtId="3" fontId="0" fillId="2" borderId="0" xfId="0" applyNumberFormat="1" applyFill="1" applyBorder="1"/>
    <xf numFmtId="0" fontId="0" fillId="2" borderId="2" xfId="0" applyFill="1" applyBorder="1"/>
    <xf numFmtId="0" fontId="0" fillId="2" borderId="8" xfId="0" applyFill="1" applyBorder="1"/>
    <xf numFmtId="0" fontId="0" fillId="2" borderId="15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5" xfId="0" applyFill="1" applyBorder="1"/>
    <xf numFmtId="0" fontId="0" fillId="2" borderId="12" xfId="0" applyFill="1" applyBorder="1"/>
    <xf numFmtId="3" fontId="0" fillId="2" borderId="14" xfId="0" applyNumberFormat="1" applyFill="1" applyBorder="1"/>
    <xf numFmtId="0" fontId="0" fillId="2" borderId="1" xfId="0" applyFill="1" applyBorder="1" applyAlignment="1">
      <alignment horizontal="center"/>
    </xf>
    <xf numFmtId="0" fontId="7" fillId="2" borderId="6" xfId="1" applyFill="1" applyBorder="1" applyAlignment="1">
      <alignment horizontal="center"/>
    </xf>
    <xf numFmtId="3" fontId="0" fillId="2" borderId="9" xfId="0" applyNumberFormat="1" applyFill="1" applyBorder="1"/>
    <xf numFmtId="0" fontId="0" fillId="2" borderId="9" xfId="0" applyFill="1" applyBorder="1" applyAlignment="1">
      <alignment horizontal="center"/>
    </xf>
    <xf numFmtId="14" fontId="7" fillId="2" borderId="6" xfId="1" applyNumberFormat="1" applyFill="1" applyBorder="1" applyAlignment="1">
      <alignment horizontal="center"/>
    </xf>
    <xf numFmtId="49" fontId="0" fillId="2" borderId="3" xfId="0" applyNumberFormat="1" applyFill="1" applyBorder="1"/>
    <xf numFmtId="10" fontId="6" fillId="2" borderId="11" xfId="0" applyNumberFormat="1" applyFont="1" applyFill="1" applyBorder="1" applyAlignment="1" applyProtection="1"/>
    <xf numFmtId="10" fontId="6" fillId="2" borderId="15" xfId="0" applyNumberFormat="1" applyFont="1" applyFill="1" applyBorder="1" applyAlignment="1" applyProtection="1">
      <alignment horizontal="right"/>
    </xf>
    <xf numFmtId="10" fontId="6" fillId="2" borderId="12" xfId="0" applyNumberFormat="1" applyFont="1" applyFill="1" applyBorder="1" applyAlignment="1" applyProtection="1"/>
    <xf numFmtId="3" fontId="11" fillId="2" borderId="0" xfId="0" applyNumberFormat="1" applyFont="1" applyFill="1" applyBorder="1" applyAlignment="1" applyProtection="1"/>
    <xf numFmtId="10" fontId="11" fillId="2" borderId="0" xfId="0" applyNumberFormat="1" applyFont="1" applyFill="1" applyBorder="1" applyAlignment="1" applyProtection="1"/>
    <xf numFmtId="3" fontId="0" fillId="2" borderId="4" xfId="0" applyNumberFormat="1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/>
    <xf numFmtId="0" fontId="0" fillId="2" borderId="7" xfId="0" applyFill="1" applyBorder="1"/>
    <xf numFmtId="0" fontId="0" fillId="2" borderId="10" xfId="0" applyFill="1" applyBorder="1"/>
    <xf numFmtId="3" fontId="0" fillId="2" borderId="10" xfId="0" applyNumberFormat="1" applyFill="1" applyBorder="1"/>
    <xf numFmtId="3" fontId="0" fillId="2" borderId="13" xfId="0" applyNumberFormat="1" applyFill="1" applyBorder="1"/>
    <xf numFmtId="3" fontId="0" fillId="2" borderId="5" xfId="0" applyNumberFormat="1" applyFill="1" applyBorder="1" applyAlignment="1">
      <alignment horizontal="right"/>
    </xf>
    <xf numFmtId="0" fontId="7" fillId="2" borderId="11" xfId="1" applyFill="1" applyBorder="1" applyAlignment="1">
      <alignment horizontal="center"/>
    </xf>
    <xf numFmtId="3" fontId="11" fillId="2" borderId="14" xfId="0" applyNumberFormat="1" applyFont="1" applyFill="1" applyBorder="1" applyProtection="1"/>
    <xf numFmtId="4" fontId="11" fillId="2" borderId="14" xfId="0" applyNumberFormat="1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6" fillId="2" borderId="0" xfId="0" applyFont="1" applyFill="1" applyBorder="1"/>
    <xf numFmtId="0" fontId="4" fillId="5" borderId="0" xfId="0" applyFont="1" applyFill="1" applyBorder="1" applyAlignment="1" applyProtection="1">
      <alignment horizontal="center"/>
      <protection locked="0"/>
    </xf>
    <xf numFmtId="0" fontId="10" fillId="2" borderId="0" xfId="1" applyFont="1" applyFill="1" applyBorder="1" applyAlignment="1" applyProtection="1">
      <alignment horizontal="center"/>
    </xf>
    <xf numFmtId="3" fontId="4" fillId="5" borderId="0" xfId="0" applyNumberFormat="1" applyFont="1" applyFill="1" applyBorder="1" applyAlignment="1" applyProtection="1">
      <alignment horizontal="right"/>
      <protection locked="0"/>
    </xf>
    <xf numFmtId="14" fontId="4" fillId="5" borderId="0" xfId="0" applyNumberFormat="1" applyFont="1" applyFill="1" applyBorder="1" applyAlignment="1" applyProtection="1">
      <alignment horizontal="center"/>
      <protection locked="0"/>
    </xf>
    <xf numFmtId="3" fontId="4" fillId="5" borderId="0" xfId="0" applyNumberFormat="1" applyFont="1" applyFill="1" applyBorder="1" applyAlignment="1" applyProtection="1">
      <alignment horizontal="center"/>
      <protection locked="0"/>
    </xf>
    <xf numFmtId="3" fontId="8" fillId="8" borderId="0" xfId="0" applyNumberFormat="1" applyFont="1" applyFill="1" applyBorder="1" applyAlignment="1" applyProtection="1"/>
    <xf numFmtId="0" fontId="7" fillId="2" borderId="0" xfId="1" applyFill="1" applyBorder="1" applyAlignment="1" applyProtection="1">
      <alignment horizontal="center"/>
    </xf>
    <xf numFmtId="164" fontId="4" fillId="5" borderId="0" xfId="0" applyNumberFormat="1" applyFont="1" applyFill="1" applyBorder="1" applyAlignment="1" applyProtection="1">
      <alignment horizontal="right"/>
      <protection locked="0"/>
    </xf>
    <xf numFmtId="0" fontId="8" fillId="8" borderId="0" xfId="0" applyFont="1" applyFill="1" applyBorder="1" applyAlignment="1" applyProtection="1">
      <alignment horizontal="center"/>
    </xf>
    <xf numFmtId="0" fontId="6" fillId="2" borderId="0" xfId="0" applyFont="1" applyFill="1" applyBorder="1" applyProtection="1"/>
    <xf numFmtId="0" fontId="8" fillId="8" borderId="0" xfId="0" applyFont="1" applyFill="1" applyBorder="1" applyAlignment="1">
      <alignment horizontal="center"/>
    </xf>
    <xf numFmtId="3" fontId="8" fillId="8" borderId="0" xfId="0" applyNumberFormat="1" applyFont="1" applyFill="1" applyBorder="1" applyAlignment="1" applyProtection="1">
      <alignment horizontal="center"/>
    </xf>
    <xf numFmtId="0" fontId="12" fillId="3" borderId="0" xfId="0" applyFont="1" applyFill="1" applyBorder="1" applyAlignment="1" applyProtection="1"/>
    <xf numFmtId="3" fontId="6" fillId="2" borderId="1" xfId="0" applyNumberFormat="1" applyFont="1" applyFill="1" applyBorder="1" applyAlignment="1" applyProtection="1">
      <alignment horizontal="right"/>
    </xf>
    <xf numFmtId="3" fontId="6" fillId="2" borderId="4" xfId="0" applyNumberFormat="1" applyFont="1" applyFill="1" applyBorder="1" applyAlignment="1" applyProtection="1">
      <alignment horizontal="right"/>
    </xf>
    <xf numFmtId="3" fontId="11" fillId="2" borderId="4" xfId="0" applyNumberFormat="1" applyFont="1" applyFill="1" applyBorder="1" applyAlignment="1" applyProtection="1"/>
    <xf numFmtId="10" fontId="11" fillId="2" borderId="12" xfId="0" applyNumberFormat="1" applyFont="1" applyFill="1" applyBorder="1" applyAlignment="1" applyProtection="1"/>
    <xf numFmtId="3" fontId="6" fillId="2" borderId="15" xfId="0" applyNumberFormat="1" applyFont="1" applyFill="1" applyBorder="1" applyProtection="1"/>
    <xf numFmtId="0" fontId="2" fillId="5" borderId="5" xfId="0" applyFont="1" applyFill="1" applyBorder="1" applyAlignment="1" applyProtection="1">
      <alignment horizontal="right"/>
    </xf>
    <xf numFmtId="0" fontId="2" fillId="6" borderId="5" xfId="0" applyFont="1" applyFill="1" applyBorder="1" applyAlignment="1" applyProtection="1">
      <alignment horizontal="right"/>
    </xf>
    <xf numFmtId="0" fontId="2" fillId="7" borderId="5" xfId="0" applyFont="1" applyFill="1" applyBorder="1" applyAlignment="1" applyProtection="1">
      <alignment horizontal="right"/>
    </xf>
    <xf numFmtId="0" fontId="16" fillId="2" borderId="0" xfId="0" applyFont="1" applyFill="1" applyBorder="1"/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/>
    <xf numFmtId="0" fontId="16" fillId="2" borderId="2" xfId="0" applyFont="1" applyFill="1" applyBorder="1"/>
    <xf numFmtId="0" fontId="17" fillId="2" borderId="8" xfId="0" applyFont="1" applyFill="1" applyBorder="1"/>
    <xf numFmtId="0" fontId="20" fillId="2" borderId="8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5" xfId="0" applyFont="1" applyFill="1" applyBorder="1"/>
    <xf numFmtId="0" fontId="16" fillId="2" borderId="5" xfId="0" applyFont="1" applyFill="1" applyBorder="1" applyAlignment="1">
      <alignment horizontal="right"/>
    </xf>
    <xf numFmtId="0" fontId="17" fillId="2" borderId="0" xfId="0" applyFont="1" applyFill="1" applyBorder="1"/>
    <xf numFmtId="0" fontId="13" fillId="2" borderId="0" xfId="0" applyFont="1" applyFill="1" applyBorder="1" applyAlignment="1" applyProtection="1">
      <alignment horizontal="left"/>
    </xf>
    <xf numFmtId="0" fontId="23" fillId="2" borderId="0" xfId="0" applyFont="1" applyFill="1" applyBorder="1" applyAlignment="1">
      <alignment horizontal="center"/>
    </xf>
    <xf numFmtId="3" fontId="23" fillId="2" borderId="0" xfId="0" applyNumberFormat="1" applyFont="1" applyFill="1" applyBorder="1" applyAlignment="1" applyProtection="1">
      <alignment horizontal="left"/>
    </xf>
    <xf numFmtId="0" fontId="23" fillId="2" borderId="0" xfId="0" applyFont="1" applyFill="1" applyBorder="1"/>
    <xf numFmtId="0" fontId="23" fillId="2" borderId="0" xfId="0" applyFont="1" applyFill="1" applyBorder="1" applyProtection="1"/>
    <xf numFmtId="0" fontId="4" fillId="2" borderId="0" xfId="0" applyFont="1" applyFill="1" applyBorder="1" applyAlignment="1">
      <alignment horizontal="center"/>
    </xf>
    <xf numFmtId="10" fontId="23" fillId="2" borderId="0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14" fontId="6" fillId="2" borderId="1" xfId="0" applyNumberFormat="1" applyFont="1" applyFill="1" applyBorder="1" applyAlignment="1" applyProtection="1">
      <alignment horizontal="left"/>
    </xf>
    <xf numFmtId="14" fontId="6" fillId="2" borderId="3" xfId="0" applyNumberFormat="1" applyFont="1" applyFill="1" applyBorder="1" applyAlignment="1" applyProtection="1"/>
    <xf numFmtId="14" fontId="6" fillId="2" borderId="8" xfId="0" applyNumberFormat="1" applyFont="1" applyFill="1" applyBorder="1" applyAlignment="1" applyProtection="1"/>
    <xf numFmtId="14" fontId="6" fillId="2" borderId="9" xfId="0" applyNumberFormat="1" applyFont="1" applyFill="1" applyBorder="1" applyAlignment="1" applyProtection="1"/>
    <xf numFmtId="14" fontId="6" fillId="2" borderId="6" xfId="0" applyNumberFormat="1" applyFont="1" applyFill="1" applyBorder="1" applyAlignment="1" applyProtection="1"/>
    <xf numFmtId="0" fontId="0" fillId="2" borderId="1" xfId="0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0" fontId="24" fillId="2" borderId="3" xfId="0" applyFont="1" applyFill="1" applyBorder="1"/>
    <xf numFmtId="0" fontId="0" fillId="2" borderId="8" xfId="0" applyFont="1" applyFill="1" applyBorder="1" applyProtection="1">
      <protection locked="0"/>
    </xf>
    <xf numFmtId="0" fontId="24" fillId="2" borderId="9" xfId="0" applyFont="1" applyFill="1" applyBorder="1"/>
    <xf numFmtId="0" fontId="0" fillId="2" borderId="4" xfId="0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4" fillId="2" borderId="6" xfId="0" applyFont="1" applyFill="1" applyBorder="1"/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/>
    </xf>
    <xf numFmtId="4" fontId="9" fillId="2" borderId="5" xfId="0" applyNumberFormat="1" applyFont="1" applyFill="1" applyBorder="1" applyProtection="1"/>
    <xf numFmtId="0" fontId="0" fillId="2" borderId="5" xfId="0" applyFont="1" applyFill="1" applyBorder="1" applyAlignment="1" applyProtection="1">
      <alignment horizontal="right"/>
      <protection locked="0"/>
    </xf>
    <xf numFmtId="3" fontId="5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Border="1" applyAlignment="1">
      <alignment horizontal="left"/>
    </xf>
    <xf numFmtId="0" fontId="13" fillId="2" borderId="0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protection locked="0"/>
    </xf>
    <xf numFmtId="3" fontId="6" fillId="2" borderId="4" xfId="0" applyNumberFormat="1" applyFont="1" applyFill="1" applyBorder="1" applyAlignment="1" applyProtection="1">
      <alignment horizontal="left"/>
    </xf>
    <xf numFmtId="0" fontId="0" fillId="9" borderId="0" xfId="0" applyFill="1"/>
    <xf numFmtId="3" fontId="4" fillId="2" borderId="0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right"/>
    </xf>
    <xf numFmtId="0" fontId="4" fillId="5" borderId="0" xfId="0" applyFont="1" applyFill="1" applyBorder="1" applyAlignment="1">
      <alignment horizontal="center"/>
    </xf>
    <xf numFmtId="10" fontId="6" fillId="4" borderId="5" xfId="0" applyNumberFormat="1" applyFont="1" applyFill="1" applyBorder="1" applyProtection="1"/>
    <xf numFmtId="10" fontId="6" fillId="4" borderId="0" xfId="0" applyNumberFormat="1" applyFont="1" applyFill="1" applyBorder="1" applyProtection="1">
      <protection hidden="1"/>
    </xf>
    <xf numFmtId="10" fontId="6" fillId="4" borderId="5" xfId="0" applyNumberFormat="1" applyFont="1" applyFill="1" applyBorder="1" applyProtection="1">
      <protection hidden="1"/>
    </xf>
    <xf numFmtId="10" fontId="23" fillId="4" borderId="0" xfId="0" applyNumberFormat="1" applyFont="1" applyFill="1" applyBorder="1" applyAlignment="1" applyProtection="1">
      <alignment horizontal="right"/>
      <protection hidden="1"/>
    </xf>
    <xf numFmtId="10" fontId="6" fillId="4" borderId="5" xfId="0" applyNumberFormat="1" applyFont="1" applyFill="1" applyBorder="1" applyAlignment="1" applyProtection="1">
      <alignment horizontal="right"/>
      <protection hidden="1"/>
    </xf>
    <xf numFmtId="0" fontId="16" fillId="4" borderId="3" xfId="0" applyFont="1" applyFill="1" applyBorder="1"/>
    <xf numFmtId="0" fontId="16" fillId="4" borderId="0" xfId="0" applyFont="1" applyFill="1"/>
    <xf numFmtId="0" fontId="16" fillId="4" borderId="9" xfId="0" applyFont="1" applyFill="1" applyBorder="1"/>
    <xf numFmtId="0" fontId="20" fillId="4" borderId="9" xfId="0" applyFont="1" applyFill="1" applyBorder="1"/>
    <xf numFmtId="0" fontId="20" fillId="4" borderId="0" xfId="0" applyFont="1" applyFill="1"/>
    <xf numFmtId="0" fontId="16" fillId="4" borderId="6" xfId="0" applyFont="1" applyFill="1" applyBorder="1"/>
    <xf numFmtId="3" fontId="4" fillId="10" borderId="0" xfId="0" applyNumberFormat="1" applyFont="1" applyFill="1" applyBorder="1" applyAlignment="1" applyProtection="1">
      <alignment horizontal="right"/>
      <protection locked="0" hidden="1"/>
    </xf>
    <xf numFmtId="3" fontId="4" fillId="10" borderId="0" xfId="0" applyNumberFormat="1" applyFont="1" applyFill="1" applyBorder="1" applyAlignment="1" applyProtection="1">
      <alignment horizontal="right"/>
      <protection hidden="1"/>
    </xf>
    <xf numFmtId="0" fontId="12" fillId="6" borderId="0" xfId="0" applyFont="1" applyFill="1" applyBorder="1" applyAlignment="1" applyProtection="1"/>
    <xf numFmtId="0" fontId="12" fillId="6" borderId="0" xfId="0" applyFont="1" applyFill="1" applyBorder="1" applyAlignment="1" applyProtection="1">
      <alignment horizontal="center"/>
    </xf>
    <xf numFmtId="0" fontId="12" fillId="7" borderId="0" xfId="0" applyFont="1" applyFill="1" applyBorder="1" applyAlignment="1"/>
    <xf numFmtId="0" fontId="12" fillId="3" borderId="0" xfId="0" applyFont="1" applyFill="1"/>
    <xf numFmtId="0" fontId="12" fillId="6" borderId="0" xfId="0" applyFont="1" applyFill="1"/>
    <xf numFmtId="3" fontId="12" fillId="6" borderId="0" xfId="0" applyNumberFormat="1" applyFont="1" applyFill="1"/>
    <xf numFmtId="0" fontId="12" fillId="7" borderId="0" xfId="0" applyFont="1" applyFill="1"/>
    <xf numFmtId="0" fontId="0" fillId="2" borderId="0" xfId="0" applyFont="1" applyFill="1" applyBorder="1" applyAlignment="1">
      <alignment horizontal="center"/>
    </xf>
    <xf numFmtId="0" fontId="16" fillId="2" borderId="8" xfId="0" applyFont="1" applyFill="1" applyBorder="1" applyProtection="1">
      <protection locked="0"/>
    </xf>
    <xf numFmtId="0" fontId="12" fillId="3" borderId="0" xfId="0" applyFont="1" applyFill="1" applyBorder="1" applyAlignment="1" applyProtection="1">
      <protection locked="0"/>
    </xf>
    <xf numFmtId="0" fontId="15" fillId="3" borderId="0" xfId="0" applyFont="1" applyFill="1" applyBorder="1"/>
    <xf numFmtId="0" fontId="25" fillId="2" borderId="9" xfId="0" applyFont="1" applyFill="1" applyBorder="1"/>
    <xf numFmtId="0" fontId="16" fillId="9" borderId="0" xfId="0" applyFont="1" applyFill="1"/>
    <xf numFmtId="0" fontId="12" fillId="5" borderId="0" xfId="0" applyFont="1" applyFill="1" applyBorder="1" applyAlignment="1" applyProtection="1"/>
    <xf numFmtId="0" fontId="6" fillId="4" borderId="0" xfId="0" applyFont="1" applyFill="1" applyBorder="1"/>
    <xf numFmtId="0" fontId="6" fillId="4" borderId="0" xfId="1" applyFont="1" applyFill="1" applyBorder="1" applyAlignment="1" applyProtection="1">
      <alignment horizontal="left"/>
    </xf>
    <xf numFmtId="0" fontId="0" fillId="4" borderId="0" xfId="0" applyFont="1" applyFill="1" applyBorder="1"/>
    <xf numFmtId="0" fontId="0" fillId="4" borderId="0" xfId="0" applyFill="1" applyBorder="1"/>
    <xf numFmtId="0" fontId="2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protection locked="0"/>
    </xf>
    <xf numFmtId="0" fontId="0" fillId="4" borderId="0" xfId="0" applyFont="1" applyFill="1" applyBorder="1" applyAlignment="1" applyProtection="1">
      <alignment horizontal="center"/>
    </xf>
    <xf numFmtId="3" fontId="6" fillId="4" borderId="0" xfId="0" applyNumberFormat="1" applyFont="1" applyFill="1" applyBorder="1" applyAlignment="1" applyProtection="1">
      <alignment horizontal="center"/>
    </xf>
    <xf numFmtId="0" fontId="0" fillId="4" borderId="5" xfId="0" applyFont="1" applyFill="1" applyBorder="1" applyAlignment="1" applyProtection="1">
      <alignment horizontal="center"/>
    </xf>
    <xf numFmtId="0" fontId="0" fillId="4" borderId="5" xfId="0" applyFill="1" applyBorder="1"/>
    <xf numFmtId="0" fontId="3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Protection="1">
      <protection locked="0"/>
    </xf>
    <xf numFmtId="0" fontId="6" fillId="4" borderId="5" xfId="0" applyFont="1" applyFill="1" applyBorder="1" applyProtection="1">
      <protection locked="0"/>
    </xf>
    <xf numFmtId="3" fontId="6" fillId="4" borderId="0" xfId="0" applyNumberFormat="1" applyFont="1" applyFill="1" applyBorder="1" applyProtection="1">
      <protection locked="0"/>
    </xf>
    <xf numFmtId="0" fontId="2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left"/>
    </xf>
    <xf numFmtId="3" fontId="6" fillId="4" borderId="0" xfId="0" applyNumberFormat="1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horizontal="center"/>
    </xf>
    <xf numFmtId="3" fontId="6" fillId="4" borderId="2" xfId="0" applyNumberFormat="1" applyFont="1" applyFill="1" applyBorder="1" applyProtection="1">
      <protection locked="0"/>
    </xf>
    <xf numFmtId="3" fontId="6" fillId="4" borderId="5" xfId="0" applyNumberFormat="1" applyFont="1" applyFill="1" applyBorder="1" applyProtection="1">
      <protection locked="0"/>
    </xf>
    <xf numFmtId="0" fontId="2" fillId="4" borderId="0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4" fillId="4" borderId="0" xfId="0" applyFont="1" applyFill="1" applyBorder="1" applyAlignment="1" applyProtection="1"/>
    <xf numFmtId="0" fontId="6" fillId="4" borderId="0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8" fillId="4" borderId="0" xfId="0" applyFont="1" applyFill="1" applyBorder="1" applyAlignment="1" applyProtection="1">
      <alignment horizontal="center"/>
    </xf>
    <xf numFmtId="0" fontId="6" fillId="4" borderId="6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/>
    <xf numFmtId="4" fontId="11" fillId="2" borderId="7" xfId="0" applyNumberFormat="1" applyFont="1" applyFill="1" applyBorder="1" applyProtection="1"/>
    <xf numFmtId="165" fontId="19" fillId="2" borderId="14" xfId="0" applyNumberFormat="1" applyFont="1" applyFill="1" applyBorder="1" applyProtection="1"/>
    <xf numFmtId="0" fontId="6" fillId="4" borderId="1" xfId="0" applyFont="1" applyFill="1" applyBorder="1" applyProtection="1">
      <protection locked="0"/>
    </xf>
    <xf numFmtId="0" fontId="6" fillId="4" borderId="4" xfId="0" applyFont="1" applyFill="1" applyBorder="1" applyProtection="1">
      <protection locked="0"/>
    </xf>
    <xf numFmtId="4" fontId="6" fillId="2" borderId="1" xfId="0" applyNumberFormat="1" applyFont="1" applyFill="1" applyBorder="1" applyProtection="1"/>
    <xf numFmtId="4" fontId="6" fillId="2" borderId="11" xfId="0" applyNumberFormat="1" applyFont="1" applyFill="1" applyBorder="1" applyProtection="1"/>
    <xf numFmtId="165" fontId="0" fillId="9" borderId="0" xfId="0" applyNumberFormat="1" applyFill="1"/>
    <xf numFmtId="4" fontId="11" fillId="2" borderId="0" xfId="0" applyNumberFormat="1" applyFont="1" applyFill="1" applyBorder="1" applyProtection="1"/>
    <xf numFmtId="4" fontId="6" fillId="2" borderId="15" xfId="0" applyNumberFormat="1" applyFont="1" applyFill="1" applyBorder="1" applyProtection="1"/>
    <xf numFmtId="0" fontId="27" fillId="3" borderId="0" xfId="0" applyFont="1" applyFill="1" applyBorder="1" applyAlignment="1">
      <alignment horizontal="center"/>
    </xf>
    <xf numFmtId="0" fontId="26" fillId="3" borderId="0" xfId="0" applyFont="1" applyFill="1" applyBorder="1" applyAlignment="1">
      <alignment horizontal="center"/>
    </xf>
    <xf numFmtId="0" fontId="26" fillId="5" borderId="0" xfId="0" applyFont="1" applyFill="1" applyBorder="1" applyAlignment="1">
      <alignment horizontal="center"/>
    </xf>
    <xf numFmtId="0" fontId="8" fillId="8" borderId="0" xfId="0" applyFont="1" applyFill="1" applyBorder="1" applyAlignment="1" applyProtection="1">
      <alignment horizontal="left"/>
    </xf>
    <xf numFmtId="0" fontId="8" fillId="8" borderId="0" xfId="0" applyFont="1" applyFill="1" applyBorder="1" applyAlignment="1">
      <alignment horizontal="left"/>
    </xf>
    <xf numFmtId="0" fontId="13" fillId="5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8" fillId="7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7">
    <cellStyle name="Hyperlink 2" xfId="6" xr:uid="{00000000-0005-0000-0000-000000000000}"/>
    <cellStyle name="Hyperlink_Auszug GV100 300900" xfId="5" xr:uid="{00000000-0005-0000-0000-000001000000}"/>
    <cellStyle name="Link" xfId="1" builtinId="8"/>
    <cellStyle name="Link 2" xfId="4" xr:uid="{00000000-0005-0000-0000-000003000000}"/>
    <cellStyle name="Standard" xfId="0" builtinId="0"/>
    <cellStyle name="Standard 2" xfId="2" xr:uid="{00000000-0005-0000-0000-000005000000}"/>
    <cellStyle name="Standard 2 5" xfId="3" xr:uid="{00000000-0005-0000-0000-000006000000}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rona.rki.de/" TargetMode="External"/><Relationship Id="rId2" Type="http://schemas.openxmlformats.org/officeDocument/2006/relationships/hyperlink" Target="https://de.wikipedia.org/" TargetMode="External"/><Relationship Id="rId1" Type="http://schemas.openxmlformats.org/officeDocument/2006/relationships/hyperlink" Target="https://corona.rki.de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corona.rki.de/" TargetMode="External"/><Relationship Id="rId2" Type="http://schemas.openxmlformats.org/officeDocument/2006/relationships/hyperlink" Target="https://de.wikipedia.org/" TargetMode="External"/><Relationship Id="rId1" Type="http://schemas.openxmlformats.org/officeDocument/2006/relationships/hyperlink" Target="https://corona.rki.de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estatis.de/DE/Themen/Laender-Regionen/Regionales/Gemeindeverzeichnis/Administrativ/02-bundeslaender.html" TargetMode="External"/><Relationship Id="rId2" Type="http://schemas.openxmlformats.org/officeDocument/2006/relationships/hyperlink" Target="https://www.destatis.de/DE/Themen/Laender-Regionen/Regionales/Gemeindeverzeichnis/Administrativ/02-bundeslaender.html" TargetMode="External"/><Relationship Id="rId1" Type="http://schemas.openxmlformats.org/officeDocument/2006/relationships/hyperlink" Target="https://www.destatis.de/DE/Themen/Branchen-Unternehmen/Landwirtschaft-Forstwirtschaft-Fischerei/Flaechennutzung/_inhalt.html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B2:H97"/>
  <sheetViews>
    <sheetView showRowColHeaders="0" topLeftCell="A76" zoomScale="170" zoomScaleNormal="170" workbookViewId="0">
      <selection activeCell="G97" sqref="G97"/>
    </sheetView>
  </sheetViews>
  <sheetFormatPr baseColWidth="10" defaultColWidth="11.44140625" defaultRowHeight="13.2" x14ac:dyDescent="0.25"/>
  <cols>
    <col min="1" max="2" width="1.77734375" style="133" customWidth="1"/>
    <col min="3" max="3" width="4.77734375" style="133" customWidth="1"/>
    <col min="4" max="6" width="15.77734375" style="133" customWidth="1"/>
    <col min="7" max="7" width="130.21875" style="133" bestFit="1" customWidth="1"/>
    <col min="8" max="9" width="1.77734375" style="133" customWidth="1"/>
    <col min="10" max="16384" width="11.44140625" style="133"/>
  </cols>
  <sheetData>
    <row r="2" spans="2:8" x14ac:dyDescent="0.25">
      <c r="B2" s="112"/>
      <c r="C2" s="113"/>
      <c r="D2" s="114"/>
      <c r="E2" s="114"/>
      <c r="F2" s="114"/>
      <c r="G2" s="114"/>
      <c r="H2" s="115"/>
    </row>
    <row r="3" spans="2:8" ht="21" x14ac:dyDescent="0.4">
      <c r="B3" s="116"/>
      <c r="C3" s="205" t="s">
        <v>147</v>
      </c>
      <c r="D3" s="205"/>
      <c r="E3" s="205"/>
      <c r="F3" s="205"/>
      <c r="G3" s="205"/>
      <c r="H3" s="117"/>
    </row>
    <row r="4" spans="2:8" x14ac:dyDescent="0.25">
      <c r="B4" s="116"/>
      <c r="C4" s="157"/>
      <c r="D4" s="9"/>
      <c r="E4" s="9"/>
      <c r="F4" s="9"/>
      <c r="G4" s="9"/>
      <c r="H4" s="117"/>
    </row>
    <row r="5" spans="2:8" s="162" customFormat="1" ht="15.6" x14ac:dyDescent="0.3">
      <c r="B5" s="158"/>
      <c r="C5" s="163" t="s">
        <v>125</v>
      </c>
      <c r="D5" s="163"/>
      <c r="E5" s="163" t="s">
        <v>97</v>
      </c>
      <c r="F5" s="163"/>
      <c r="G5" s="163" t="s">
        <v>139</v>
      </c>
      <c r="H5" s="161"/>
    </row>
    <row r="6" spans="2:8" ht="17.399999999999999" x14ac:dyDescent="0.3">
      <c r="B6" s="116"/>
      <c r="C6" s="130"/>
      <c r="D6" s="98"/>
      <c r="E6" s="98"/>
      <c r="F6" s="98"/>
      <c r="G6" s="98"/>
      <c r="H6" s="117"/>
    </row>
    <row r="7" spans="2:8" x14ac:dyDescent="0.25">
      <c r="B7" s="116"/>
      <c r="C7" s="75" t="s">
        <v>102</v>
      </c>
      <c r="D7" s="206" t="s">
        <v>140</v>
      </c>
      <c r="E7" s="206"/>
      <c r="F7" s="206"/>
      <c r="G7" s="206"/>
      <c r="H7" s="117"/>
    </row>
    <row r="8" spans="2:8" x14ac:dyDescent="0.25">
      <c r="B8" s="116"/>
      <c r="C8" s="136">
        <v>1</v>
      </c>
      <c r="D8" s="166" t="s">
        <v>10</v>
      </c>
      <c r="E8" s="70">
        <v>44021</v>
      </c>
      <c r="F8" s="166" t="s">
        <v>106</v>
      </c>
      <c r="G8" s="76" t="s">
        <v>105</v>
      </c>
      <c r="H8" s="117"/>
    </row>
    <row r="9" spans="2:8" x14ac:dyDescent="0.25">
      <c r="B9" s="116"/>
      <c r="C9" s="136">
        <f>C8+1</f>
        <v>2</v>
      </c>
      <c r="D9" s="166" t="s">
        <v>10</v>
      </c>
      <c r="E9" s="71">
        <v>35</v>
      </c>
      <c r="F9" s="166" t="s">
        <v>107</v>
      </c>
      <c r="G9" s="76" t="s">
        <v>146</v>
      </c>
      <c r="H9" s="117"/>
    </row>
    <row r="10" spans="2:8" x14ac:dyDescent="0.25">
      <c r="B10" s="116"/>
      <c r="C10" s="99"/>
      <c r="D10" s="25"/>
      <c r="E10" s="128" t="str">
        <f>IF(E8="","Eingabe fehlt in Zeile 1",IF(E9="","Eingabe fehlt in Zeile 2",IF(E8&lt;&gt;"",IF(E9&lt;&gt;"","Gut gemacht! - Sie haben alle Eingabefelder ausgefüllt. Gehen Sie weiter zum Eingabebereich II. Zeile 1"))))</f>
        <v>Gut gemacht! - Sie haben alle Eingabefelder ausgefüllt. Gehen Sie weiter zum Eingabebereich II. Zeile 1</v>
      </c>
      <c r="F10" s="101"/>
      <c r="G10" s="102"/>
      <c r="H10" s="117"/>
    </row>
    <row r="11" spans="2:8" x14ac:dyDescent="0.25">
      <c r="B11" s="116"/>
      <c r="C11" s="99"/>
      <c r="D11" s="25"/>
      <c r="E11" s="100"/>
      <c r="F11" s="101"/>
      <c r="G11" s="102"/>
      <c r="H11" s="117"/>
    </row>
    <row r="12" spans="2:8" x14ac:dyDescent="0.25">
      <c r="B12" s="116"/>
      <c r="C12" s="77" t="s">
        <v>103</v>
      </c>
      <c r="D12" s="207" t="s">
        <v>113</v>
      </c>
      <c r="E12" s="207"/>
      <c r="F12" s="207"/>
      <c r="G12" s="207"/>
      <c r="H12" s="117"/>
    </row>
    <row r="13" spans="2:8" x14ac:dyDescent="0.25">
      <c r="B13" s="116"/>
      <c r="C13" s="136">
        <v>1</v>
      </c>
      <c r="D13" s="166" t="s">
        <v>100</v>
      </c>
      <c r="E13" s="67" t="s">
        <v>89</v>
      </c>
      <c r="F13" s="164" t="s">
        <v>101</v>
      </c>
      <c r="G13" s="76" t="s">
        <v>117</v>
      </c>
      <c r="H13" s="117"/>
    </row>
    <row r="14" spans="2:8" x14ac:dyDescent="0.25">
      <c r="B14" s="116"/>
      <c r="C14" s="136">
        <v>2</v>
      </c>
      <c r="D14" s="166"/>
      <c r="E14" s="148">
        <f>IF(E13="Bundesländer","",allg.Daten!F24)</f>
        <v>3305</v>
      </c>
      <c r="F14" s="165" t="s">
        <v>53</v>
      </c>
      <c r="G14" s="76" t="s">
        <v>114</v>
      </c>
      <c r="H14" s="117"/>
    </row>
    <row r="15" spans="2:8" x14ac:dyDescent="0.25">
      <c r="B15" s="116"/>
      <c r="C15" s="136">
        <v>3</v>
      </c>
      <c r="D15" s="166"/>
      <c r="E15" s="148">
        <f>IF(E13="Bundesländer","",allg.Daten!H24)</f>
        <v>11069533</v>
      </c>
      <c r="F15" s="165" t="s">
        <v>17</v>
      </c>
      <c r="G15" s="76" t="s">
        <v>111</v>
      </c>
      <c r="H15" s="117"/>
    </row>
    <row r="16" spans="2:8" x14ac:dyDescent="0.25">
      <c r="B16" s="116"/>
      <c r="C16" s="136">
        <f>C15+1</f>
        <v>4</v>
      </c>
      <c r="D16" s="166" t="s">
        <v>11</v>
      </c>
      <c r="E16" s="68" t="s">
        <v>9</v>
      </c>
      <c r="F16" s="166" t="s">
        <v>121</v>
      </c>
      <c r="G16" s="66" t="s">
        <v>112</v>
      </c>
      <c r="H16" s="117"/>
    </row>
    <row r="17" spans="2:8" x14ac:dyDescent="0.25">
      <c r="B17" s="116"/>
      <c r="C17" s="136">
        <f>C16+1</f>
        <v>5</v>
      </c>
      <c r="D17" s="166" t="s">
        <v>10</v>
      </c>
      <c r="E17" s="69">
        <v>35942</v>
      </c>
      <c r="F17" s="137">
        <f>IF(E17="","",100%)</f>
        <v>1</v>
      </c>
      <c r="G17" s="76" t="s">
        <v>141</v>
      </c>
      <c r="H17" s="117"/>
    </row>
    <row r="18" spans="2:8" x14ac:dyDescent="0.25">
      <c r="B18" s="116"/>
      <c r="C18" s="136">
        <f>C17+1</f>
        <v>6</v>
      </c>
      <c r="D18" s="166" t="s">
        <v>10</v>
      </c>
      <c r="E18" s="69">
        <v>1838</v>
      </c>
      <c r="F18" s="138">
        <f>IFERROR(ROUND(E18/E17,4),"")</f>
        <v>5.11E-2</v>
      </c>
      <c r="G18" s="76" t="s">
        <v>142</v>
      </c>
      <c r="H18" s="117"/>
    </row>
    <row r="19" spans="2:8" x14ac:dyDescent="0.25">
      <c r="B19" s="116"/>
      <c r="C19" s="136">
        <f>C18+1</f>
        <v>7</v>
      </c>
      <c r="D19" s="166" t="s">
        <v>10</v>
      </c>
      <c r="E19" s="69">
        <v>33600</v>
      </c>
      <c r="F19" s="139">
        <f>IFERROR(ROUND(E19/E17,4),"")</f>
        <v>0.93479999999999996</v>
      </c>
      <c r="G19" s="76" t="s">
        <v>143</v>
      </c>
      <c r="H19" s="117"/>
    </row>
    <row r="20" spans="2:8" x14ac:dyDescent="0.25">
      <c r="B20" s="116"/>
      <c r="C20" s="103"/>
      <c r="D20" s="9"/>
      <c r="E20" s="134"/>
      <c r="F20" s="140">
        <f>IFERROR(F18+F19,"")</f>
        <v>0.9859</v>
      </c>
      <c r="G20" s="65" t="str">
        <f>IF(F20&lt;100%,"Summe ist kleiner als 100%. (Diese Zahl wird automatisch errechnet.)","Diese Zahl wird automatisch errechnet.")</f>
        <v>Summe ist kleiner als 100%. (Diese Zahl wird automatisch errechnet.)</v>
      </c>
      <c r="H20" s="117"/>
    </row>
    <row r="21" spans="2:8" x14ac:dyDescent="0.25">
      <c r="B21" s="116"/>
      <c r="C21" s="103"/>
      <c r="D21" s="25"/>
      <c r="E21" s="128" t="str">
        <f>IF(E17&lt;E18+E19,"Die Eingaben in den Zeilen 5 bis 7 sind unplausbibel. Überprüfen Sie Ihre Eingaben!",IF(E13="Bundesländer","Geben Sie in ein Bundesland in Zeile 1 ein!",IF(E17="","Eingabe fehlt in Zeile 5!",IF(E18="","Eingabe fehlt in Zeile 6!",IF(E19="","Eingabe fehlt in Zeile 7!",IF(E13&lt;&gt;"Bundesländer",IF(E17&lt;&gt;"",IF(E18&lt;&gt;"",IF(E19&lt;&gt;"","Gut gemacht!  -  Sie haben alle Eingabefelder ausgefüllt. Gehen Sie weiter zum Eingabebereich III. Zeile 1.",)))))))))</f>
        <v>Gut gemacht!  -  Sie haben alle Eingabefelder ausgefüllt. Gehen Sie weiter zum Eingabebereich III. Zeile 1.</v>
      </c>
      <c r="F21" s="104"/>
      <c r="G21" s="65"/>
      <c r="H21" s="117"/>
    </row>
    <row r="22" spans="2:8" x14ac:dyDescent="0.25">
      <c r="B22" s="116"/>
      <c r="C22" s="103"/>
      <c r="D22" s="25"/>
      <c r="E22" s="100"/>
      <c r="F22" s="104"/>
      <c r="G22" s="65"/>
      <c r="H22" s="117"/>
    </row>
    <row r="23" spans="2:8" x14ac:dyDescent="0.25">
      <c r="B23" s="116"/>
      <c r="C23" s="78" t="s">
        <v>104</v>
      </c>
      <c r="D23" s="72" t="s">
        <v>144</v>
      </c>
      <c r="E23" s="72"/>
      <c r="F23" s="72"/>
      <c r="G23" s="72"/>
      <c r="H23" s="117"/>
    </row>
    <row r="24" spans="2:8" x14ac:dyDescent="0.25">
      <c r="B24" s="116"/>
      <c r="C24" s="136">
        <v>1</v>
      </c>
      <c r="D24" s="166" t="s">
        <v>10</v>
      </c>
      <c r="E24" s="71" t="s">
        <v>164</v>
      </c>
      <c r="F24" s="165" t="s">
        <v>97</v>
      </c>
      <c r="G24" s="66" t="s">
        <v>122</v>
      </c>
      <c r="H24" s="117"/>
    </row>
    <row r="25" spans="2:8" x14ac:dyDescent="0.25">
      <c r="B25" s="116"/>
      <c r="C25" s="136">
        <f t="shared" ref="C25:C33" si="0">C24+1</f>
        <v>2</v>
      </c>
      <c r="D25" s="166" t="s">
        <v>11</v>
      </c>
      <c r="E25" s="73" t="s">
        <v>75</v>
      </c>
      <c r="F25" s="167" t="s">
        <v>75</v>
      </c>
      <c r="G25" s="76" t="s">
        <v>108</v>
      </c>
      <c r="H25" s="117"/>
    </row>
    <row r="26" spans="2:8" x14ac:dyDescent="0.25">
      <c r="B26" s="116"/>
      <c r="C26" s="136">
        <f t="shared" si="0"/>
        <v>3</v>
      </c>
      <c r="D26" s="166" t="s">
        <v>10</v>
      </c>
      <c r="E26" s="69">
        <v>1084.96</v>
      </c>
      <c r="F26" s="165" t="s">
        <v>53</v>
      </c>
      <c r="G26" s="76" t="s">
        <v>115</v>
      </c>
      <c r="H26" s="117"/>
    </row>
    <row r="27" spans="2:8" x14ac:dyDescent="0.25">
      <c r="B27" s="116"/>
      <c r="C27" s="136">
        <f t="shared" si="0"/>
        <v>4</v>
      </c>
      <c r="D27" s="166" t="s">
        <v>82</v>
      </c>
      <c r="E27" s="74">
        <v>10.5</v>
      </c>
      <c r="F27" s="165" t="s">
        <v>85</v>
      </c>
      <c r="G27" s="76" t="s">
        <v>116</v>
      </c>
      <c r="H27" s="117"/>
    </row>
    <row r="28" spans="2:8" x14ac:dyDescent="0.25">
      <c r="B28" s="116"/>
      <c r="C28" s="136">
        <f t="shared" si="0"/>
        <v>5</v>
      </c>
      <c r="D28" s="166" t="s">
        <v>10</v>
      </c>
      <c r="E28" s="69">
        <v>444232</v>
      </c>
      <c r="F28" s="167" t="s">
        <v>17</v>
      </c>
      <c r="G28" s="76" t="s">
        <v>109</v>
      </c>
      <c r="H28" s="117"/>
    </row>
    <row r="29" spans="2:8" x14ac:dyDescent="0.25">
      <c r="B29" s="116"/>
      <c r="C29" s="136">
        <f t="shared" si="0"/>
        <v>6</v>
      </c>
      <c r="D29" s="166" t="s">
        <v>11</v>
      </c>
      <c r="E29" s="68" t="s">
        <v>9</v>
      </c>
      <c r="F29" s="164" t="s">
        <v>121</v>
      </c>
      <c r="G29" s="66" t="s">
        <v>110</v>
      </c>
      <c r="H29" s="117"/>
    </row>
    <row r="30" spans="2:8" x14ac:dyDescent="0.25">
      <c r="B30" s="116"/>
      <c r="C30" s="136">
        <f t="shared" si="0"/>
        <v>7</v>
      </c>
      <c r="D30" s="166" t="s">
        <v>10</v>
      </c>
      <c r="E30" s="69">
        <v>426</v>
      </c>
      <c r="F30" s="141">
        <f>IF(E30="","",100%)</f>
        <v>1</v>
      </c>
      <c r="G30" s="76" t="s">
        <v>118</v>
      </c>
      <c r="H30" s="117"/>
    </row>
    <row r="31" spans="2:8" x14ac:dyDescent="0.25">
      <c r="B31" s="116"/>
      <c r="C31" s="136">
        <f t="shared" si="0"/>
        <v>8</v>
      </c>
      <c r="D31" s="166" t="s">
        <v>10</v>
      </c>
      <c r="E31" s="69">
        <v>14</v>
      </c>
      <c r="F31" s="138">
        <f>IFERROR(ROUND(E31/E30,4),"")</f>
        <v>3.2899999999999999E-2</v>
      </c>
      <c r="G31" s="76" t="s">
        <v>119</v>
      </c>
      <c r="H31" s="117"/>
    </row>
    <row r="32" spans="2:8" x14ac:dyDescent="0.25">
      <c r="B32" s="116"/>
      <c r="C32" s="136">
        <f t="shared" si="0"/>
        <v>9</v>
      </c>
      <c r="D32" s="166" t="s">
        <v>82</v>
      </c>
      <c r="E32" s="149">
        <f>IFERROR(ROUND(E30*F32,0),"")</f>
        <v>398</v>
      </c>
      <c r="F32" s="141">
        <f>IFERROR(IF(F31+F19&gt;100%,F30-F31,F19),"")</f>
        <v>0.93479999999999996</v>
      </c>
      <c r="G32" s="76" t="s">
        <v>120</v>
      </c>
      <c r="H32" s="117"/>
    </row>
    <row r="33" spans="2:8" x14ac:dyDescent="0.25">
      <c r="B33" s="116"/>
      <c r="C33" s="103">
        <f t="shared" si="0"/>
        <v>10</v>
      </c>
      <c r="D33" s="9"/>
      <c r="E33" s="135"/>
      <c r="F33" s="140">
        <f>IFERROR(F31+F32,"")</f>
        <v>0.9677</v>
      </c>
      <c r="G33" s="65" t="str">
        <f>IF(F33&lt;100%,"Summe ist kleiner als 100%. (Diese Zahl wird automatisch errechnet.)","Diese Zahl wird automatisch errechnet.")</f>
        <v>Summe ist kleiner als 100%. (Diese Zahl wird automatisch errechnet.)</v>
      </c>
      <c r="H33" s="117"/>
    </row>
    <row r="34" spans="2:8" x14ac:dyDescent="0.25">
      <c r="B34" s="116"/>
      <c r="C34" s="105"/>
      <c r="D34" s="106"/>
      <c r="E34" s="129" t="str">
        <f>IF(E24="","Eingabe fehlt in Zeile 1",IF(E26="","Eingabe fehlt in Zeile 3!",IF(E27="","Eingabe fehlt in Zeile 4!",IF(E28="","Eingabe fehlt in Zeile 5!",IF(E30="","Eingabe fehlt in Zeile 7!",IF(E31="","Eingabe fehlt in Zeile 8!",IF(E24&lt;&gt;"",IF(E26&lt;&gt;"",IF(E27&lt;&gt;"",IF(E28&lt;&gt;"",IF(E30&lt;&gt;"",IF(E31&lt;&gt;"","Gut gemacht!  -  Gehen Sie weiter nach unten, um Ihre Risikoanalyse anzusehen!"))))))))))))</f>
        <v>Gut gemacht!  -  Gehen Sie weiter nach unten, um Ihre Risikoanalyse anzusehen!</v>
      </c>
      <c r="F34" s="106"/>
      <c r="G34" s="106"/>
      <c r="H34" s="117"/>
    </row>
    <row r="35" spans="2:8" x14ac:dyDescent="0.25">
      <c r="B35" s="118"/>
      <c r="C35" s="119"/>
      <c r="D35" s="120"/>
      <c r="E35" s="121"/>
      <c r="F35" s="120"/>
      <c r="G35" s="120"/>
      <c r="H35" s="122"/>
    </row>
    <row r="36" spans="2:8" x14ac:dyDescent="0.25">
      <c r="B36" s="112"/>
      <c r="C36" s="123"/>
      <c r="D36" s="124"/>
      <c r="E36" s="124"/>
      <c r="F36" s="124"/>
      <c r="G36" s="124"/>
      <c r="H36" s="115"/>
    </row>
    <row r="37" spans="2:8" ht="21" x14ac:dyDescent="0.4">
      <c r="B37" s="116"/>
      <c r="C37" s="204" t="str">
        <f>C3</f>
        <v>Schätzung meines persönlichen Covid-19 Infektions- und Sterberisikos (für "Heute") - Lightversion</v>
      </c>
      <c r="D37" s="204"/>
      <c r="E37" s="204"/>
      <c r="F37" s="204"/>
      <c r="G37" s="204"/>
      <c r="H37" s="117"/>
    </row>
    <row r="38" spans="2:8" ht="21" x14ac:dyDescent="0.4">
      <c r="B38" s="116"/>
      <c r="C38" s="203" t="s">
        <v>145</v>
      </c>
      <c r="D38" s="204"/>
      <c r="E38" s="204"/>
      <c r="F38" s="204"/>
      <c r="G38" s="204"/>
      <c r="H38" s="117"/>
    </row>
    <row r="39" spans="2:8" x14ac:dyDescent="0.25">
      <c r="B39" s="116"/>
      <c r="C39" s="10"/>
      <c r="D39" s="8"/>
      <c r="E39" s="8"/>
      <c r="F39" s="8"/>
      <c r="G39" s="8"/>
      <c r="H39" s="117"/>
    </row>
    <row r="40" spans="2:8" s="162" customFormat="1" ht="15.75" customHeight="1" x14ac:dyDescent="0.3">
      <c r="B40" s="158"/>
      <c r="C40" s="159" t="s">
        <v>97</v>
      </c>
      <c r="D40" s="159"/>
      <c r="E40" s="159"/>
      <c r="F40" s="160"/>
      <c r="G40" s="159" t="s">
        <v>138</v>
      </c>
      <c r="H40" s="161"/>
    </row>
    <row r="41" spans="2:8" x14ac:dyDescent="0.25">
      <c r="B41" s="116"/>
      <c r="C41" s="168"/>
      <c r="D41" s="169"/>
      <c r="E41" s="107">
        <f>IF(E8="","",E8)</f>
        <v>44021</v>
      </c>
      <c r="F41" s="108" t="s">
        <v>106</v>
      </c>
      <c r="G41" s="169"/>
      <c r="H41" s="117"/>
    </row>
    <row r="42" spans="2:8" x14ac:dyDescent="0.25">
      <c r="B42" s="116"/>
      <c r="C42" s="168"/>
      <c r="D42" s="169"/>
      <c r="E42" s="109" t="str">
        <f>IF(Risikoanalyse!E24="","",Risikoanalyse!E24)</f>
        <v>Karlsruhe</v>
      </c>
      <c r="F42" s="110" t="s">
        <v>97</v>
      </c>
      <c r="G42" s="169"/>
      <c r="H42" s="117"/>
    </row>
    <row r="43" spans="2:8" x14ac:dyDescent="0.25">
      <c r="B43" s="116"/>
      <c r="C43" s="168"/>
      <c r="D43" s="169"/>
      <c r="E43" s="131" t="str">
        <f>IF(E13="Bundesländer","",E13)</f>
        <v>Baden-W.</v>
      </c>
      <c r="F43" s="110" t="s">
        <v>37</v>
      </c>
      <c r="G43" s="169"/>
      <c r="H43" s="117"/>
    </row>
    <row r="44" spans="2:8" x14ac:dyDescent="0.25">
      <c r="B44" s="116"/>
      <c r="C44" s="168"/>
      <c r="D44" s="169"/>
      <c r="E44" s="132">
        <f>IF(E9="","",E9)</f>
        <v>35</v>
      </c>
      <c r="F44" s="111" t="s">
        <v>123</v>
      </c>
      <c r="G44" s="169"/>
      <c r="H44" s="117"/>
    </row>
    <row r="45" spans="2:8" x14ac:dyDescent="0.25">
      <c r="B45" s="116"/>
      <c r="C45" s="10"/>
      <c r="D45" s="8"/>
      <c r="E45" s="8"/>
      <c r="F45" s="8"/>
      <c r="G45" s="8"/>
      <c r="H45" s="117"/>
    </row>
    <row r="46" spans="2:8" ht="15.6" x14ac:dyDescent="0.3">
      <c r="B46" s="116"/>
      <c r="C46" s="79" t="s">
        <v>127</v>
      </c>
      <c r="D46" s="153" t="s">
        <v>126</v>
      </c>
      <c r="E46" s="153"/>
      <c r="F46" s="153"/>
      <c r="G46" s="153" t="s">
        <v>131</v>
      </c>
      <c r="H46" s="117"/>
    </row>
    <row r="47" spans="2:8" x14ac:dyDescent="0.25">
      <c r="B47" s="116"/>
      <c r="C47" s="170"/>
      <c r="D47" s="167"/>
      <c r="E47" s="80">
        <f>IF(Risikoanalyse!E17=0,"",Risikoanalyse!E17)</f>
        <v>35942</v>
      </c>
      <c r="F47" s="48">
        <f>IF(E47="","",Risikoanalyse!F17)</f>
        <v>1</v>
      </c>
      <c r="G47" s="175" t="s">
        <v>76</v>
      </c>
      <c r="H47" s="117"/>
    </row>
    <row r="48" spans="2:8" x14ac:dyDescent="0.25">
      <c r="B48" s="116"/>
      <c r="C48" s="170" t="s">
        <v>2</v>
      </c>
      <c r="D48" s="171"/>
      <c r="E48" s="21">
        <f>IF(Risikoanalyse!E18=0,"",Risikoanalyse!E18)</f>
        <v>1838</v>
      </c>
      <c r="F48" s="49">
        <f>Risikoanalyse!F18</f>
        <v>5.11E-2</v>
      </c>
      <c r="G48" s="175" t="s">
        <v>77</v>
      </c>
      <c r="H48" s="117"/>
    </row>
    <row r="49" spans="2:8" x14ac:dyDescent="0.25">
      <c r="B49" s="116"/>
      <c r="C49" s="172" t="s">
        <v>2</v>
      </c>
      <c r="D49" s="173"/>
      <c r="E49" s="81">
        <f>IF(Risikoanalyse!E19=0,"",Risikoanalyse!E19)</f>
        <v>33600</v>
      </c>
      <c r="F49" s="50">
        <f>Risikoanalyse!F19</f>
        <v>0.93479999999999996</v>
      </c>
      <c r="G49" s="176" t="s">
        <v>78</v>
      </c>
      <c r="H49" s="117"/>
    </row>
    <row r="50" spans="2:8" ht="15.6" x14ac:dyDescent="0.3">
      <c r="B50" s="116"/>
      <c r="C50" s="174" t="s">
        <v>1</v>
      </c>
      <c r="D50" s="167"/>
      <c r="E50" s="82">
        <f>IFERROR(E47-E48-E49,"")</f>
        <v>504</v>
      </c>
      <c r="F50" s="83">
        <f>IFERROR(E50/E47,"")</f>
        <v>1.4022591953703189E-2</v>
      </c>
      <c r="G50" s="177" t="s">
        <v>15</v>
      </c>
      <c r="H50" s="117"/>
    </row>
    <row r="51" spans="2:8" ht="15.6" x14ac:dyDescent="0.3">
      <c r="B51" s="116"/>
      <c r="C51" s="12"/>
      <c r="D51" s="25"/>
      <c r="E51" s="51"/>
      <c r="F51" s="52"/>
      <c r="G51" s="18"/>
      <c r="H51" s="117"/>
    </row>
    <row r="52" spans="2:8" ht="15.6" x14ac:dyDescent="0.3">
      <c r="B52" s="116"/>
      <c r="C52" s="79" t="s">
        <v>128</v>
      </c>
      <c r="D52" s="153" t="s">
        <v>126</v>
      </c>
      <c r="E52" s="153"/>
      <c r="F52" s="153"/>
      <c r="G52" s="153" t="s">
        <v>132</v>
      </c>
      <c r="H52" s="117"/>
    </row>
    <row r="53" spans="2:8" x14ac:dyDescent="0.25">
      <c r="B53" s="116"/>
      <c r="C53" s="170"/>
      <c r="D53" s="167"/>
      <c r="E53" s="26">
        <f>IF(Risikoanalyse!E30=0,"",Risikoanalyse!E30)</f>
        <v>426</v>
      </c>
      <c r="F53" s="48">
        <f>IF(E53="","",Risikoanalyse!F30)</f>
        <v>1</v>
      </c>
      <c r="G53" s="175" t="s">
        <v>79</v>
      </c>
      <c r="H53" s="117"/>
    </row>
    <row r="54" spans="2:8" x14ac:dyDescent="0.25">
      <c r="B54" s="116"/>
      <c r="C54" s="170" t="s">
        <v>2</v>
      </c>
      <c r="D54" s="171"/>
      <c r="E54" s="22">
        <f>IF(Risikoanalyse!E31=0,"",Risikoanalyse!E31)</f>
        <v>14</v>
      </c>
      <c r="F54" s="49">
        <f>Risikoanalyse!F31</f>
        <v>3.2899999999999999E-2</v>
      </c>
      <c r="G54" s="175" t="s">
        <v>80</v>
      </c>
      <c r="H54" s="117"/>
    </row>
    <row r="55" spans="2:8" x14ac:dyDescent="0.25">
      <c r="B55" s="116"/>
      <c r="C55" s="172" t="s">
        <v>2</v>
      </c>
      <c r="D55" s="173"/>
      <c r="E55" s="27">
        <f>Risikoanalyse!E32</f>
        <v>398</v>
      </c>
      <c r="F55" s="50">
        <f>Risikoanalyse!F32</f>
        <v>0.93479999999999996</v>
      </c>
      <c r="G55" s="176" t="s">
        <v>81</v>
      </c>
      <c r="H55" s="117"/>
    </row>
    <row r="56" spans="2:8" ht="15.6" x14ac:dyDescent="0.3">
      <c r="B56" s="116"/>
      <c r="C56" s="174" t="s">
        <v>1</v>
      </c>
      <c r="D56" s="167"/>
      <c r="E56" s="28">
        <f>IFERROR(E53-E54-E55,"")</f>
        <v>14</v>
      </c>
      <c r="F56" s="83">
        <f>IFERROR(E56/E53,"")</f>
        <v>3.2863849765258218E-2</v>
      </c>
      <c r="G56" s="177" t="s">
        <v>15</v>
      </c>
      <c r="H56" s="117"/>
    </row>
    <row r="57" spans="2:8" ht="15.6" x14ac:dyDescent="0.3">
      <c r="B57" s="116"/>
      <c r="C57" s="12"/>
      <c r="D57" s="25"/>
      <c r="E57" s="51"/>
      <c r="F57" s="52"/>
      <c r="G57" s="18"/>
      <c r="H57" s="117"/>
    </row>
    <row r="58" spans="2:8" ht="15.6" x14ac:dyDescent="0.3">
      <c r="B58" s="116"/>
      <c r="C58" s="79" t="s">
        <v>129</v>
      </c>
      <c r="D58" s="153" t="s">
        <v>130</v>
      </c>
      <c r="E58" s="153"/>
      <c r="F58" s="153"/>
      <c r="G58" s="153" t="s">
        <v>133</v>
      </c>
      <c r="H58" s="117"/>
    </row>
    <row r="59" spans="2:8" x14ac:dyDescent="0.25">
      <c r="B59" s="116"/>
      <c r="C59" s="178"/>
      <c r="D59" s="85" t="s">
        <v>6</v>
      </c>
      <c r="E59" s="86" t="s">
        <v>5</v>
      </c>
      <c r="F59" s="87" t="s">
        <v>7</v>
      </c>
      <c r="G59" s="179" t="s">
        <v>148</v>
      </c>
      <c r="H59" s="117"/>
    </row>
    <row r="60" spans="2:8" x14ac:dyDescent="0.25">
      <c r="B60" s="116"/>
      <c r="C60" s="174"/>
      <c r="D60" s="22">
        <f>E56</f>
        <v>14</v>
      </c>
      <c r="E60" s="22">
        <f>D60</f>
        <v>14</v>
      </c>
      <c r="F60" s="22">
        <f>D60</f>
        <v>14</v>
      </c>
      <c r="G60" s="180" t="str">
        <f>G50</f>
        <v>Anzahl bekannter aktiv-infektiöser Menschen (ohne Infektionsgefahr, da in Quarantäne)</v>
      </c>
      <c r="H60" s="117"/>
    </row>
    <row r="61" spans="2:8" x14ac:dyDescent="0.25">
      <c r="B61" s="116"/>
      <c r="C61" s="172" t="s">
        <v>3</v>
      </c>
      <c r="D61" s="23">
        <f>IF(D60="","",0.5)</f>
        <v>0.5</v>
      </c>
      <c r="E61" s="23">
        <f>IF(E60="","",1)</f>
        <v>1</v>
      </c>
      <c r="F61" s="23">
        <f>IF(F60="","",2)</f>
        <v>2</v>
      </c>
      <c r="G61" s="181" t="s">
        <v>12</v>
      </c>
      <c r="H61" s="117"/>
    </row>
    <row r="62" spans="2:8" ht="15.6" x14ac:dyDescent="0.3">
      <c r="B62" s="116"/>
      <c r="C62" s="174" t="s">
        <v>1</v>
      </c>
      <c r="D62" s="63">
        <f>IFERROR(ROUND(D60*D61,0),"")</f>
        <v>7</v>
      </c>
      <c r="E62" s="63">
        <f>IFERROR(ROUND(E60*E61,0),"")</f>
        <v>14</v>
      </c>
      <c r="F62" s="63">
        <f>IFERROR(ROUND(F60*F61,0),"")</f>
        <v>28</v>
      </c>
      <c r="G62" s="177" t="s">
        <v>16</v>
      </c>
      <c r="H62" s="117"/>
    </row>
    <row r="63" spans="2:8" x14ac:dyDescent="0.25">
      <c r="B63" s="116"/>
      <c r="C63" s="10"/>
      <c r="D63" s="1"/>
      <c r="E63" s="1"/>
      <c r="F63" s="1"/>
      <c r="G63" s="1"/>
      <c r="H63" s="117"/>
    </row>
    <row r="64" spans="2:8" ht="15.6" x14ac:dyDescent="0.3">
      <c r="B64" s="116"/>
      <c r="C64" s="151" t="s">
        <v>127</v>
      </c>
      <c r="D64" s="155" t="s">
        <v>135</v>
      </c>
      <c r="E64" s="155"/>
      <c r="F64" s="155"/>
      <c r="G64" s="155" t="s">
        <v>163</v>
      </c>
      <c r="H64" s="117"/>
    </row>
    <row r="65" spans="2:8" ht="15.6" x14ac:dyDescent="0.3">
      <c r="B65" s="116"/>
      <c r="C65" s="182"/>
      <c r="D65" s="15" t="str">
        <f>D59</f>
        <v>R=0,5</v>
      </c>
      <c r="E65" s="16" t="str">
        <f>E59</f>
        <v>R=1,0</v>
      </c>
      <c r="F65" s="17" t="str">
        <f>F59</f>
        <v>R=2,0</v>
      </c>
      <c r="G65" s="179" t="str">
        <f>G59</f>
        <v>Szenarien für den Reproduktionsfaktor (bis zur Veröffentlichung der nächsten RKI-Daten, d.h. "Morgen")</v>
      </c>
      <c r="H65" s="117"/>
    </row>
    <row r="66" spans="2:8" x14ac:dyDescent="0.25">
      <c r="B66" s="116"/>
      <c r="C66" s="170"/>
      <c r="D66" s="3">
        <f>IF(E26=0,"",E26)</f>
        <v>1084.96</v>
      </c>
      <c r="E66" s="3">
        <f>D66</f>
        <v>1084.96</v>
      </c>
      <c r="F66" s="3">
        <f>D66</f>
        <v>1084.96</v>
      </c>
      <c r="G66" s="175" t="s">
        <v>86</v>
      </c>
      <c r="H66" s="117"/>
    </row>
    <row r="67" spans="2:8" x14ac:dyDescent="0.25">
      <c r="B67" s="116"/>
      <c r="C67" s="172" t="s">
        <v>3</v>
      </c>
      <c r="D67" s="5">
        <f>IF(ROUND(E27/100,2)=0,"",ROUND(E27/100,2))</f>
        <v>0.11</v>
      </c>
      <c r="E67" s="5">
        <f>D67</f>
        <v>0.11</v>
      </c>
      <c r="F67" s="5">
        <f>D67</f>
        <v>0.11</v>
      </c>
      <c r="G67" s="176" t="s">
        <v>99</v>
      </c>
      <c r="H67" s="117"/>
    </row>
    <row r="68" spans="2:8" x14ac:dyDescent="0.25">
      <c r="B68" s="116"/>
      <c r="C68" s="170" t="s">
        <v>1</v>
      </c>
      <c r="D68" s="84">
        <f>IFERROR(ROUND(D66*D67,0),"")</f>
        <v>119</v>
      </c>
      <c r="E68" s="84">
        <f>IFERROR(ROUND(E66*E67,0),"")</f>
        <v>119</v>
      </c>
      <c r="F68" s="84">
        <f>IFERROR(ROUND(F66*F67,0),"")</f>
        <v>119</v>
      </c>
      <c r="G68" s="175" t="s">
        <v>87</v>
      </c>
      <c r="H68" s="117"/>
    </row>
    <row r="69" spans="2:8" x14ac:dyDescent="0.25">
      <c r="B69" s="116"/>
      <c r="C69" s="172" t="s">
        <v>0</v>
      </c>
      <c r="D69" s="4">
        <f>D62</f>
        <v>7</v>
      </c>
      <c r="E69" s="4">
        <f>E62</f>
        <v>14</v>
      </c>
      <c r="F69" s="4">
        <f>F62</f>
        <v>28</v>
      </c>
      <c r="G69" s="185" t="str">
        <f>G62</f>
        <v>Anzahl unbekannter aktiv-infektiöser Menschen (mit Infektionsgefahr, da nicht in Quarantäne)</v>
      </c>
      <c r="H69" s="117"/>
    </row>
    <row r="70" spans="2:8" ht="15.6" x14ac:dyDescent="0.3">
      <c r="B70" s="116"/>
      <c r="C70" s="174" t="s">
        <v>1</v>
      </c>
      <c r="D70" s="11">
        <f>IFERROR(IF(D69=0,D68,D68/D69),"")</f>
        <v>17</v>
      </c>
      <c r="E70" s="11">
        <f>IFERROR(IF(E69=0,E68,E68/E69),"")</f>
        <v>8.5</v>
      </c>
      <c r="F70" s="11">
        <f>IFERROR(IF(F69=0,F68,F68/F69),"")</f>
        <v>4.25</v>
      </c>
      <c r="G70" s="177" t="s">
        <v>155</v>
      </c>
      <c r="H70" s="117"/>
    </row>
    <row r="71" spans="2:8" ht="15.6" x14ac:dyDescent="0.3">
      <c r="B71" s="116"/>
      <c r="C71" s="12"/>
      <c r="D71" s="201"/>
      <c r="E71" s="201"/>
      <c r="F71" s="201"/>
      <c r="G71" s="177"/>
      <c r="H71" s="117"/>
    </row>
    <row r="72" spans="2:8" ht="15.6" x14ac:dyDescent="0.3">
      <c r="B72" s="116"/>
      <c r="C72" s="150" t="s">
        <v>60</v>
      </c>
      <c r="D72" s="154" t="s">
        <v>134</v>
      </c>
      <c r="E72" s="154"/>
      <c r="F72" s="154"/>
      <c r="G72" s="154" t="s">
        <v>154</v>
      </c>
      <c r="H72" s="117"/>
    </row>
    <row r="73" spans="2:8" ht="15.6" x14ac:dyDescent="0.3">
      <c r="B73" s="116"/>
      <c r="C73" s="182"/>
      <c r="D73" s="85" t="s">
        <v>6</v>
      </c>
      <c r="E73" s="86" t="s">
        <v>5</v>
      </c>
      <c r="F73" s="87" t="s">
        <v>7</v>
      </c>
      <c r="G73" s="179" t="str">
        <f>G67</f>
        <v>Anteil der Siedlungsflächen an Flächen gesamt</v>
      </c>
      <c r="H73" s="117"/>
    </row>
    <row r="74" spans="2:8" x14ac:dyDescent="0.25">
      <c r="B74" s="116"/>
      <c r="C74" s="170"/>
      <c r="D74" s="3">
        <f>IFERROR(E28,"")</f>
        <v>444232</v>
      </c>
      <c r="E74" s="3">
        <f>D74</f>
        <v>444232</v>
      </c>
      <c r="F74" s="3">
        <f>D74</f>
        <v>444232</v>
      </c>
      <c r="G74" s="175" t="s">
        <v>17</v>
      </c>
      <c r="H74" s="117"/>
    </row>
    <row r="75" spans="2:8" x14ac:dyDescent="0.25">
      <c r="B75" s="116"/>
      <c r="C75" s="170" t="s">
        <v>0</v>
      </c>
      <c r="D75" s="202">
        <f>IFERROR(D62,"")</f>
        <v>7</v>
      </c>
      <c r="E75" s="202">
        <f>IFERROR(E62,"")</f>
        <v>14</v>
      </c>
      <c r="F75" s="202">
        <f>IFERROR(F62,"")</f>
        <v>28</v>
      </c>
      <c r="G75" s="177" t="str">
        <f>G69</f>
        <v>Anzahl unbekannter aktiv-infektiöser Menschen (mit Infektionsgefahr, da nicht in Quarantäne)</v>
      </c>
      <c r="H75" s="117"/>
    </row>
    <row r="76" spans="2:8" ht="15.6" x14ac:dyDescent="0.3">
      <c r="B76" s="116"/>
      <c r="C76" s="183" t="s">
        <v>1</v>
      </c>
      <c r="D76" s="63">
        <f>IFERROR(IF(D75=0,D74,ROUND(D74/D75,0)),"")</f>
        <v>63462</v>
      </c>
      <c r="E76" s="63">
        <f>IFERROR(IF(E75=0,E74,ROUND(E74/E75,0)),"")</f>
        <v>31731</v>
      </c>
      <c r="F76" s="63">
        <f>IFERROR(IF(F75=0,F74,ROUND(F74/F75,0)),"")</f>
        <v>15865</v>
      </c>
      <c r="G76" s="184" t="s">
        <v>153</v>
      </c>
      <c r="H76" s="117"/>
    </row>
    <row r="77" spans="2:8" ht="15" x14ac:dyDescent="0.25">
      <c r="B77" s="116"/>
      <c r="C77" s="174" t="s">
        <v>1</v>
      </c>
      <c r="D77" s="195">
        <f>IFERROR(1/D76,"")</f>
        <v>1.5757461157858247E-5</v>
      </c>
      <c r="E77" s="195">
        <f>IFERROR(1/E76,"")</f>
        <v>3.1514922315716493E-5</v>
      </c>
      <c r="F77" s="195">
        <f>IFERROR(1/F76,"")</f>
        <v>6.3031831074692721E-5</v>
      </c>
      <c r="G77" s="177" t="s">
        <v>157</v>
      </c>
      <c r="H77" s="117"/>
    </row>
    <row r="78" spans="2:8" x14ac:dyDescent="0.25">
      <c r="B78" s="116"/>
      <c r="C78" s="12"/>
      <c r="D78" s="13"/>
      <c r="E78" s="13"/>
      <c r="F78" s="13"/>
      <c r="G78" s="2"/>
      <c r="H78" s="117"/>
    </row>
    <row r="79" spans="2:8" x14ac:dyDescent="0.25">
      <c r="B79" s="116"/>
      <c r="C79" s="12"/>
      <c r="D79" s="13"/>
      <c r="E79" s="13"/>
      <c r="F79" s="13"/>
      <c r="G79" s="2"/>
      <c r="H79" s="117"/>
    </row>
    <row r="80" spans="2:8" ht="15.6" x14ac:dyDescent="0.3">
      <c r="B80" s="116"/>
      <c r="C80" s="152" t="s">
        <v>136</v>
      </c>
      <c r="D80" s="152" t="s">
        <v>149</v>
      </c>
      <c r="E80" s="152"/>
      <c r="F80" s="152"/>
      <c r="G80" s="152" t="s">
        <v>162</v>
      </c>
      <c r="H80" s="117"/>
    </row>
    <row r="81" spans="2:8" x14ac:dyDescent="0.25">
      <c r="B81" s="116"/>
      <c r="C81" s="186"/>
      <c r="D81" s="85" t="s">
        <v>6</v>
      </c>
      <c r="E81" s="86" t="s">
        <v>5</v>
      </c>
      <c r="F81" s="87" t="s">
        <v>7</v>
      </c>
      <c r="G81" s="179" t="str">
        <f>G59</f>
        <v>Szenarien für den Reproduktionsfaktor (bis zur Veröffentlichung der nächsten RKI-Daten, d.h. "Morgen")</v>
      </c>
      <c r="H81" s="117"/>
    </row>
    <row r="82" spans="2:8" x14ac:dyDescent="0.25">
      <c r="B82" s="116"/>
      <c r="C82" s="170"/>
      <c r="D82" s="19">
        <f>IFERROR(D76,"")</f>
        <v>63462</v>
      </c>
      <c r="E82" s="19">
        <f>IFERROR(E76,"")</f>
        <v>31731</v>
      </c>
      <c r="F82" s="3">
        <f>IFERROR(F76,"")</f>
        <v>15865</v>
      </c>
      <c r="G82" s="177" t="str">
        <f>G76</f>
        <v>Größe der Einwohnergruppe in der sich durchschnittlich je 1 unbekannter infektiöser Mensch befindet</v>
      </c>
      <c r="H82" s="117"/>
    </row>
    <row r="83" spans="2:8" x14ac:dyDescent="0.25">
      <c r="B83" s="116"/>
      <c r="C83" s="172" t="s">
        <v>0</v>
      </c>
      <c r="D83" s="24">
        <f>IF(D82="","",E9)</f>
        <v>35</v>
      </c>
      <c r="E83" s="4">
        <f>D83</f>
        <v>35</v>
      </c>
      <c r="F83" s="4">
        <f>D83</f>
        <v>35</v>
      </c>
      <c r="G83" s="176" t="s">
        <v>158</v>
      </c>
      <c r="H83" s="117"/>
    </row>
    <row r="84" spans="2:8" ht="15.6" x14ac:dyDescent="0.3">
      <c r="B84" s="116"/>
      <c r="C84" s="174" t="s">
        <v>1</v>
      </c>
      <c r="D84" s="194">
        <f>IFERROR(ROUND(D82/D83,4),"")</f>
        <v>1813.2</v>
      </c>
      <c r="E84" s="194">
        <f>IFERROR(ROUND(E82/E83,4),"")</f>
        <v>906.6</v>
      </c>
      <c r="F84" s="64">
        <f>IFERROR(ROUND(F82/F83,4),"")</f>
        <v>453.28570000000002</v>
      </c>
      <c r="G84" s="187" t="s">
        <v>156</v>
      </c>
      <c r="H84" s="117"/>
    </row>
    <row r="85" spans="2:8" ht="15" x14ac:dyDescent="0.25">
      <c r="B85" s="116"/>
      <c r="C85" s="174" t="s">
        <v>1</v>
      </c>
      <c r="D85" s="195">
        <f>IFERROR(1/D84,"")</f>
        <v>5.5151114052503863E-4</v>
      </c>
      <c r="E85" s="195">
        <f>IFERROR(1/E84,"")</f>
        <v>1.1030222810500773E-3</v>
      </c>
      <c r="F85" s="195">
        <f>IFERROR(1/F84,"")</f>
        <v>2.2061141571419526E-3</v>
      </c>
      <c r="G85" s="187" t="s">
        <v>159</v>
      </c>
      <c r="H85" s="117"/>
    </row>
    <row r="86" spans="2:8" ht="15.6" x14ac:dyDescent="0.3">
      <c r="B86" s="116"/>
      <c r="C86" s="12"/>
      <c r="D86" s="14"/>
      <c r="E86" s="14"/>
      <c r="F86" s="14"/>
      <c r="G86" s="8"/>
      <c r="H86" s="117"/>
    </row>
    <row r="87" spans="2:8" ht="15.6" x14ac:dyDescent="0.3">
      <c r="B87" s="116"/>
      <c r="C87" s="152" t="s">
        <v>137</v>
      </c>
      <c r="D87" s="156" t="s">
        <v>150</v>
      </c>
      <c r="E87" s="156"/>
      <c r="F87" s="156"/>
      <c r="G87" s="156" t="s">
        <v>161</v>
      </c>
      <c r="H87" s="117"/>
    </row>
    <row r="88" spans="2:8" x14ac:dyDescent="0.25">
      <c r="B88" s="116"/>
      <c r="C88" s="188" t="s">
        <v>8</v>
      </c>
      <c r="D88" s="15" t="str">
        <f>D59</f>
        <v>R=0,5</v>
      </c>
      <c r="E88" s="15" t="str">
        <f>E59</f>
        <v>R=1,0</v>
      </c>
      <c r="F88" s="15" t="str">
        <f>F59</f>
        <v>R=2,0</v>
      </c>
      <c r="G88" s="193" t="str">
        <f>G59</f>
        <v>Szenarien für den Reproduktionsfaktor (bis zur Veröffentlichung der nächsten RKI-Daten, d.h. "Morgen")</v>
      </c>
      <c r="H88" s="117"/>
    </row>
    <row r="89" spans="2:8" x14ac:dyDescent="0.25">
      <c r="B89" s="116"/>
      <c r="C89" s="189"/>
      <c r="D89" s="198">
        <f>IFERROR(D84,"")</f>
        <v>1813.2</v>
      </c>
      <c r="E89" s="198">
        <f>IFERROR(E84,"")</f>
        <v>906.6</v>
      </c>
      <c r="F89" s="199">
        <f>IFERROR(F84,"")</f>
        <v>453.28570000000002</v>
      </c>
      <c r="G89" s="175" t="str">
        <f>G84</f>
        <v>Anzahl von Tagen, die ich durchschnittlich benötigen würde, um mit 1 unbekannten infektiösen Menschen in Nahkontakt (&lt;1,5 m) zu kommen</v>
      </c>
      <c r="H89" s="117"/>
    </row>
    <row r="90" spans="2:8" x14ac:dyDescent="0.25">
      <c r="B90" s="116"/>
      <c r="C90" s="190" t="s">
        <v>0</v>
      </c>
      <c r="D90" s="20">
        <f>IFERROR($F$31,"")</f>
        <v>3.2899999999999999E-2</v>
      </c>
      <c r="E90" s="20">
        <f>IFERROR($F$31,"")</f>
        <v>3.2899999999999999E-2</v>
      </c>
      <c r="F90" s="5">
        <f>IFERROR($F$31,"")</f>
        <v>3.2899999999999999E-2</v>
      </c>
      <c r="G90" s="176" t="s">
        <v>18</v>
      </c>
      <c r="H90" s="117"/>
    </row>
    <row r="91" spans="2:8" x14ac:dyDescent="0.25">
      <c r="B91" s="116"/>
      <c r="C91" s="189" t="s">
        <v>1</v>
      </c>
      <c r="D91" s="199">
        <f>IFERROR(ROUND(D89/D90,2),"")</f>
        <v>55112.46</v>
      </c>
      <c r="E91" s="199">
        <f>IFERROR(ROUND(E89/E90,2),"")</f>
        <v>27556.23</v>
      </c>
      <c r="F91" s="199">
        <f>IFERROR(ROUND(F89/F90,2),"")</f>
        <v>13777.68</v>
      </c>
      <c r="G91" s="196" t="s">
        <v>151</v>
      </c>
      <c r="H91" s="117"/>
    </row>
    <row r="92" spans="2:8" x14ac:dyDescent="0.25">
      <c r="B92" s="116"/>
      <c r="C92" s="192" t="s">
        <v>0</v>
      </c>
      <c r="D92" s="6">
        <f>IF(D91="","",365.25)</f>
        <v>365.25</v>
      </c>
      <c r="E92" s="6">
        <f>IF(E91="","",365.25)</f>
        <v>365.25</v>
      </c>
      <c r="F92" s="6">
        <f>IF(F91="","",365.25)</f>
        <v>365.25</v>
      </c>
      <c r="G92" s="197" t="s">
        <v>4</v>
      </c>
      <c r="H92" s="117"/>
    </row>
    <row r="93" spans="2:8" ht="15.6" x14ac:dyDescent="0.3">
      <c r="B93" s="116"/>
      <c r="C93" s="191" t="s">
        <v>1</v>
      </c>
      <c r="D93" s="64">
        <f>IFERROR(ROUND(D91/D92,2),"")</f>
        <v>150.88999999999999</v>
      </c>
      <c r="E93" s="64">
        <f>IFERROR(ROUND(E91/E92,2),"")</f>
        <v>75.44</v>
      </c>
      <c r="F93" s="64">
        <f>IFERROR(ROUND(F91/F92,2),"")</f>
        <v>37.72</v>
      </c>
      <c r="G93" s="175" t="s">
        <v>152</v>
      </c>
      <c r="H93" s="117"/>
    </row>
    <row r="94" spans="2:8" ht="15" x14ac:dyDescent="0.25">
      <c r="B94" s="116"/>
      <c r="C94" s="191" t="s">
        <v>1</v>
      </c>
      <c r="D94" s="195">
        <f>IFERROR(1/D91,"")</f>
        <v>1.8144717183736672E-5</v>
      </c>
      <c r="E94" s="195">
        <f>IFERROR(1/E91,"")</f>
        <v>3.6289434367473343E-5</v>
      </c>
      <c r="F94" s="195">
        <f>IFERROR(1/F91,"")</f>
        <v>7.258116025339534E-5</v>
      </c>
      <c r="G94" s="175" t="s">
        <v>160</v>
      </c>
      <c r="H94" s="117"/>
    </row>
    <row r="95" spans="2:8" x14ac:dyDescent="0.25">
      <c r="B95" s="118"/>
      <c r="C95" s="125"/>
      <c r="D95" s="126"/>
      <c r="E95" s="126"/>
      <c r="F95" s="126"/>
      <c r="G95" s="127" t="s">
        <v>124</v>
      </c>
      <c r="H95" s="122"/>
    </row>
    <row r="97" spans="4:4" x14ac:dyDescent="0.25">
      <c r="D97" s="200"/>
    </row>
  </sheetData>
  <sheetProtection algorithmName="SHA-512" hashValue="V8mz5LoCerq413qfDHw3x0XaDqT2svKRvaMgJXZZcB2lfdotH5oRxvGbzoAwoJonRbFBVOV8sABIJ9UHn1mp9w==" saltValue="p1G7naqQ8anijFqEcjkHdQ==" spinCount="100000" sheet="1" objects="1" scenarios="1"/>
  <mergeCells count="5">
    <mergeCell ref="C38:G38"/>
    <mergeCell ref="C3:G3"/>
    <mergeCell ref="D7:G7"/>
    <mergeCell ref="D12:G12"/>
    <mergeCell ref="C37:G37"/>
  </mergeCells>
  <dataValidations count="11">
    <dataValidation type="date" allowBlank="1" showInputMessage="1" showErrorMessage="1" errorTitle="ungültige Eingabe" error="Geben Sie ein Datum im Format_x000a_TT,MM,JJ ein, das zwischen dem 28.0.2.2020 und heute liegt!" sqref="E8" xr:uid="{00000000-0002-0000-0000-000000000000}">
      <formula1>43891</formula1>
      <formula2>TODAY()</formula2>
    </dataValidation>
    <dataValidation type="whole" operator="greaterThan" allowBlank="1" showInputMessage="1" showErrorMessage="1" errorTitle="ungültig Eingabe" error="Geben Sie ein ganze Zahl (wie z.B. 10) ein, die größer als Null ist!" sqref="E9" xr:uid="{00000000-0002-0000-0000-000001000000}">
      <formula1>0</formula1>
    </dataValidation>
    <dataValidation type="whole" operator="greaterThanOrEqual" allowBlank="1" showInputMessage="1" showErrorMessage="1" errorTitle="ungültige Eingabe" error="Geben Sie eine ganze Zahl (wie z.B. 1.988 ) ein, die größer-gleich Null ist! " sqref="E17" xr:uid="{00000000-0002-0000-0000-000002000000}">
      <formula1>0</formula1>
    </dataValidation>
    <dataValidation type="custom" allowBlank="1" showInputMessage="1" showErrorMessage="1" errorTitle="ungültige Eingabe" error="Geben Sie einen Text (wie z..B. Hamburg) ein! " sqref="E24" xr:uid="{00000000-0002-0000-0000-000003000000}">
      <formula1>ISTEXT(E24)</formula1>
    </dataValidation>
    <dataValidation type="decimal" allowBlank="1" showInputMessage="1" showErrorMessage="1" errorTitle="ungültige Eingabe" error="Geben Sie eine Zahl ein, die größer als Null und kleiner als 100 ist!" sqref="E27" xr:uid="{00000000-0002-0000-0000-000004000000}">
      <formula1>0</formula1>
      <formula2>100</formula2>
    </dataValidation>
    <dataValidation type="custom" allowBlank="1" showInputMessage="1" showErrorMessage="1" errorTitle="ungültige Eingabe" error="Geben Sie eine ganze Zahl (wie z.B. 3.268 ) ein, die größer als Null ist! _x000a_Diese Zahl kann aber nicht größer als die Anzahl der &quot;Fälle total&quot; sein." sqref="E19" xr:uid="{00000000-0002-0000-0000-000005000000}">
      <formula1>E19&lt;=(E17-E18)</formula1>
    </dataValidation>
    <dataValidation type="decimal" allowBlank="1" showInputMessage="1" showErrorMessage="1" errorTitle="ungültige Eingabe" error="Geben Sie eine ganze Zahl (wie z.B. 249) ein!_x000a_Diese Zahl muss größer als Null sein, kann aber nicht größer als die Siedlungsgebietsfläche im Bundesland sein." sqref="E26" xr:uid="{00000000-0002-0000-0000-000006000000}">
      <formula1>0</formula1>
      <formula2>E14</formula2>
    </dataValidation>
    <dataValidation type="whole" allowBlank="1" showInputMessage="1" showErrorMessage="1" errorTitle="ungültige Eingabe" error="Gegen Sie eine ganze Zahl (wie z.B. 1.352)._x000a_Diese Zahl muss größer als Null sein, aber kann nicht größer als die Einwohnerzahl im Bundesland sein." sqref="E28" xr:uid="{00000000-0002-0000-0000-000007000000}">
      <formula1>1</formula1>
      <formula2>E15</formula2>
    </dataValidation>
    <dataValidation type="whole" allowBlank="1" showInputMessage="1" showErrorMessage="1" errorTitle="ungültige Eingabe" error="Geben Sie eine ganze Zahl (wie z.B. 37) ein!_x000a_Diese Zahl muss größer-gleich Null sein, kann aber nicht größer als die Zahl der &quot;Fälle total&quot; im Bundesland sein." sqref="E30" xr:uid="{00000000-0002-0000-0000-000008000000}">
      <formula1>0</formula1>
      <formula2>E17</formula2>
    </dataValidation>
    <dataValidation type="whole" allowBlank="1" showInputMessage="1" showErrorMessage="1" errorTitle="ungültige Eingabe" error="Geben Sie eine ganze Zahl (wie z.B. 32) ein!_x000a_Diese Zahl muss größer-gleich Null sein. Die Zahl muss kleiner-gleich der &quot;Fälle total&quot; sein._x000a_." sqref="E31" xr:uid="{00000000-0002-0000-0000-000009000000}">
      <formula1>0</formula1>
      <formula2>E30</formula2>
    </dataValidation>
    <dataValidation type="whole" allowBlank="1" showInputMessage="1" showErrorMessage="1" errorTitle="ungültige Eingabe" error="Geben Sie eine ganze Zahl (wie z.B. 439 ) größer Null ein!_x000a_Diese Zahl kann aber nicht größer als die Anzahl der &quot;Fälle total&quot; sein." sqref="E18" xr:uid="{00000000-0002-0000-0000-00000A000000}">
      <formula1>1</formula1>
      <formula2>E17</formula2>
    </dataValidation>
  </dataValidations>
  <hyperlinks>
    <hyperlink ref="E29" r:id="rId1" display="Robert-Koch-Institut: Covid-19-Dashboard" xr:uid="{00000000-0004-0000-0000-000000000000}"/>
    <hyperlink ref="E25" r:id="rId2" xr:uid="{00000000-0004-0000-0000-000001000000}"/>
    <hyperlink ref="E16" r:id="rId3" display="Robert-Koch-Institut: Covid-19-Dashboard" xr:uid="{00000000-0004-0000-0000-000002000000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51" orientation="portrait" horizontalDpi="1200" verticalDpi="1200" r:id="rId4"/>
  <headerFooter>
    <oddHeader>&amp;CSchätzung meines persönlichen Covid-19 Infektions- und Sterberisikos
&amp;"Arial,Fett"&amp;12Risikoanalyse - Lightversion</oddHeader>
    <oddFooter>&amp;CSeite &amp;P von &amp;N</oddFooter>
  </headerFooter>
  <ignoredErrors>
    <ignoredError sqref="E43 G60 G69 E14:E15 G89 G82 G75" unlockedFormula="1"/>
    <ignoredError sqref="D92:F92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B000000}">
          <x14:formula1>
            <xm:f>allg.Daten!$C$7:$C$23</xm:f>
          </x14:formula1>
          <xm:sqref>E13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287EB-64DC-483F-B79D-3D3B90B693E2}">
  <sheetPr>
    <tabColor theme="9" tint="-0.249977111117893"/>
    <pageSetUpPr fitToPage="1"/>
  </sheetPr>
  <dimension ref="B2:H97"/>
  <sheetViews>
    <sheetView showRowColHeaders="0" tabSelected="1" topLeftCell="B70" zoomScale="140" zoomScaleNormal="140" workbookViewId="0">
      <selection activeCell="E34" sqref="E34"/>
    </sheetView>
  </sheetViews>
  <sheetFormatPr baseColWidth="10" defaultColWidth="11.44140625" defaultRowHeight="13.2" x14ac:dyDescent="0.25"/>
  <cols>
    <col min="1" max="2" width="1.77734375" style="133" customWidth="1"/>
    <col min="3" max="3" width="4.77734375" style="133" customWidth="1"/>
    <col min="4" max="6" width="15.77734375" style="133" customWidth="1"/>
    <col min="7" max="7" width="130.21875" style="133" bestFit="1" customWidth="1"/>
    <col min="8" max="9" width="1.77734375" style="133" customWidth="1"/>
    <col min="10" max="16384" width="11.44140625" style="133"/>
  </cols>
  <sheetData>
    <row r="2" spans="2:8" x14ac:dyDescent="0.25">
      <c r="B2" s="112"/>
      <c r="C2" s="113"/>
      <c r="D2" s="114"/>
      <c r="E2" s="114"/>
      <c r="F2" s="114"/>
      <c r="G2" s="114"/>
      <c r="H2" s="115"/>
    </row>
    <row r="3" spans="2:8" ht="21" x14ac:dyDescent="0.4">
      <c r="B3" s="116"/>
      <c r="C3" s="205" t="s">
        <v>147</v>
      </c>
      <c r="D3" s="205"/>
      <c r="E3" s="205"/>
      <c r="F3" s="205"/>
      <c r="G3" s="205"/>
      <c r="H3" s="117"/>
    </row>
    <row r="4" spans="2:8" x14ac:dyDescent="0.25">
      <c r="B4" s="116"/>
      <c r="C4" s="157"/>
      <c r="D4" s="9"/>
      <c r="E4" s="9"/>
      <c r="F4" s="9"/>
      <c r="G4" s="9"/>
      <c r="H4" s="117"/>
    </row>
    <row r="5" spans="2:8" s="162" customFormat="1" ht="15.6" x14ac:dyDescent="0.3">
      <c r="B5" s="158"/>
      <c r="C5" s="163" t="s">
        <v>125</v>
      </c>
      <c r="D5" s="163"/>
      <c r="E5" s="163" t="s">
        <v>97</v>
      </c>
      <c r="F5" s="163"/>
      <c r="G5" s="163" t="s">
        <v>139</v>
      </c>
      <c r="H5" s="161"/>
    </row>
    <row r="6" spans="2:8" ht="17.399999999999999" x14ac:dyDescent="0.3">
      <c r="B6" s="116"/>
      <c r="C6" s="130"/>
      <c r="D6" s="98"/>
      <c r="E6" s="98"/>
      <c r="F6" s="98"/>
      <c r="G6" s="98"/>
      <c r="H6" s="117"/>
    </row>
    <row r="7" spans="2:8" x14ac:dyDescent="0.25">
      <c r="B7" s="116"/>
      <c r="C7" s="75" t="s">
        <v>102</v>
      </c>
      <c r="D7" s="206" t="s">
        <v>140</v>
      </c>
      <c r="E7" s="206"/>
      <c r="F7" s="206"/>
      <c r="G7" s="206"/>
      <c r="H7" s="117"/>
    </row>
    <row r="8" spans="2:8" x14ac:dyDescent="0.25">
      <c r="B8" s="116"/>
      <c r="C8" s="136">
        <v>1</v>
      </c>
      <c r="D8" s="166" t="s">
        <v>10</v>
      </c>
      <c r="E8" s="70">
        <v>44026</v>
      </c>
      <c r="F8" s="166" t="s">
        <v>106</v>
      </c>
      <c r="G8" s="76" t="s">
        <v>105</v>
      </c>
      <c r="H8" s="117"/>
    </row>
    <row r="9" spans="2:8" x14ac:dyDescent="0.25">
      <c r="B9" s="116"/>
      <c r="C9" s="136">
        <f>C8+1</f>
        <v>2</v>
      </c>
      <c r="D9" s="166" t="s">
        <v>10</v>
      </c>
      <c r="E9" s="71">
        <v>20</v>
      </c>
      <c r="F9" s="166" t="s">
        <v>107</v>
      </c>
      <c r="G9" s="76" t="s">
        <v>146</v>
      </c>
      <c r="H9" s="117"/>
    </row>
    <row r="10" spans="2:8" x14ac:dyDescent="0.25">
      <c r="B10" s="116"/>
      <c r="C10" s="99"/>
      <c r="D10" s="25"/>
      <c r="E10" s="128" t="str">
        <f>IF(E8="","Eingabe fehlt in Zeile 1",IF(E9="","Eingabe fehlt in Zeile 2",IF(E8&lt;&gt;"",IF(E9&lt;&gt;"","Gut gemacht! - Sie haben alle Eingabefelder ausgefüllt. Gehen Sie weiter zum Eingabebereich II. Zeile 1"))))</f>
        <v>Gut gemacht! - Sie haben alle Eingabefelder ausgefüllt. Gehen Sie weiter zum Eingabebereich II. Zeile 1</v>
      </c>
      <c r="F10" s="101"/>
      <c r="G10" s="102"/>
      <c r="H10" s="117"/>
    </row>
    <row r="11" spans="2:8" x14ac:dyDescent="0.25">
      <c r="B11" s="116"/>
      <c r="C11" s="99"/>
      <c r="D11" s="25"/>
      <c r="E11" s="100"/>
      <c r="F11" s="101"/>
      <c r="G11" s="102"/>
      <c r="H11" s="117"/>
    </row>
    <row r="12" spans="2:8" x14ac:dyDescent="0.25">
      <c r="B12" s="116"/>
      <c r="C12" s="77" t="s">
        <v>103</v>
      </c>
      <c r="D12" s="207" t="s">
        <v>113</v>
      </c>
      <c r="E12" s="207"/>
      <c r="F12" s="207"/>
      <c r="G12" s="207"/>
      <c r="H12" s="117"/>
    </row>
    <row r="13" spans="2:8" x14ac:dyDescent="0.25">
      <c r="B13" s="116"/>
      <c r="C13" s="136">
        <v>1</v>
      </c>
      <c r="D13" s="166" t="s">
        <v>100</v>
      </c>
      <c r="E13" s="67" t="s">
        <v>39</v>
      </c>
      <c r="F13" s="164" t="s">
        <v>101</v>
      </c>
      <c r="G13" s="76" t="s">
        <v>117</v>
      </c>
      <c r="H13" s="117"/>
    </row>
    <row r="14" spans="2:8" x14ac:dyDescent="0.25">
      <c r="B14" s="116"/>
      <c r="C14" s="136">
        <v>2</v>
      </c>
      <c r="D14" s="166"/>
      <c r="E14" s="148">
        <f>IF(E13="Bundesländer","",allg.Daten!F24)</f>
        <v>3305</v>
      </c>
      <c r="F14" s="165" t="s">
        <v>53</v>
      </c>
      <c r="G14" s="76" t="s">
        <v>114</v>
      </c>
      <c r="H14" s="117"/>
    </row>
    <row r="15" spans="2:8" x14ac:dyDescent="0.25">
      <c r="B15" s="116"/>
      <c r="C15" s="136">
        <v>3</v>
      </c>
      <c r="D15" s="166"/>
      <c r="E15" s="148">
        <f>IF(E13="Bundesländer","",allg.Daten!H24)</f>
        <v>11069533</v>
      </c>
      <c r="F15" s="165" t="s">
        <v>17</v>
      </c>
      <c r="G15" s="76" t="s">
        <v>111</v>
      </c>
      <c r="H15" s="117"/>
    </row>
    <row r="16" spans="2:8" x14ac:dyDescent="0.25">
      <c r="B16" s="116"/>
      <c r="C16" s="136">
        <f>C15+1</f>
        <v>4</v>
      </c>
      <c r="D16" s="166" t="s">
        <v>11</v>
      </c>
      <c r="E16" s="68" t="s">
        <v>9</v>
      </c>
      <c r="F16" s="166" t="s">
        <v>121</v>
      </c>
      <c r="G16" s="66" t="s">
        <v>112</v>
      </c>
      <c r="H16" s="117"/>
    </row>
    <row r="17" spans="2:8" x14ac:dyDescent="0.25">
      <c r="B17" s="116"/>
      <c r="C17" s="136">
        <f>C16+1</f>
        <v>5</v>
      </c>
      <c r="D17" s="166" t="s">
        <v>10</v>
      </c>
      <c r="E17" s="69">
        <v>49273</v>
      </c>
      <c r="F17" s="137">
        <f>IF(E17="","",100%)</f>
        <v>1</v>
      </c>
      <c r="G17" s="76" t="s">
        <v>141</v>
      </c>
      <c r="H17" s="117"/>
    </row>
    <row r="18" spans="2:8" x14ac:dyDescent="0.25">
      <c r="B18" s="116"/>
      <c r="C18" s="136">
        <f>C17+1</f>
        <v>6</v>
      </c>
      <c r="D18" s="166" t="s">
        <v>10</v>
      </c>
      <c r="E18" s="69">
        <v>2612</v>
      </c>
      <c r="F18" s="138">
        <f>IFERROR(ROUND(E18/E17,4),"")</f>
        <v>5.2999999999999999E-2</v>
      </c>
      <c r="G18" s="76" t="s">
        <v>142</v>
      </c>
      <c r="H18" s="117"/>
    </row>
    <row r="19" spans="2:8" x14ac:dyDescent="0.25">
      <c r="B19" s="116"/>
      <c r="C19" s="136">
        <f>C18+1</f>
        <v>7</v>
      </c>
      <c r="D19" s="166" t="s">
        <v>10</v>
      </c>
      <c r="E19" s="69">
        <v>45800</v>
      </c>
      <c r="F19" s="139">
        <f>IFERROR(ROUND(E19/E17,4),"")</f>
        <v>0.92949999999999999</v>
      </c>
      <c r="G19" s="76" t="s">
        <v>143</v>
      </c>
      <c r="H19" s="117"/>
    </row>
    <row r="20" spans="2:8" x14ac:dyDescent="0.25">
      <c r="B20" s="116"/>
      <c r="C20" s="103"/>
      <c r="D20" s="9"/>
      <c r="E20" s="134"/>
      <c r="F20" s="140">
        <f>IFERROR(F18+F19,"")</f>
        <v>0.98250000000000004</v>
      </c>
      <c r="G20" s="65" t="str">
        <f>IF(F20&lt;100%,"Summe ist kleiner als 100%. (Diese Zahl wird automatisch errechnet.)","Diese Zahl wird automatisch errechnet.")</f>
        <v>Summe ist kleiner als 100%. (Diese Zahl wird automatisch errechnet.)</v>
      </c>
      <c r="H20" s="117"/>
    </row>
    <row r="21" spans="2:8" x14ac:dyDescent="0.25">
      <c r="B21" s="116"/>
      <c r="C21" s="103"/>
      <c r="D21" s="25"/>
      <c r="E21" s="128" t="str">
        <f>IF(E17&lt;E18+E19,"Die Eingaben in den Zeilen 5 bis 7 sind unplausbibel. Überprüfen Sie Ihre Eingaben!",IF(E13="Bundesländer","Geben Sie in ein Bundesland in Zeile 1 ein!",IF(E17="","Eingabe fehlt in Zeile 5!",IF(E18="","Eingabe fehlt in Zeile 6!",IF(E19="","Eingabe fehlt in Zeile 7!",IF(E13&lt;&gt;"Bundesländer",IF(E17&lt;&gt;"",IF(E18&lt;&gt;"",IF(E19&lt;&gt;"","Gut gemacht!  -  Sie haben alle Eingabefelder ausgefüllt. Gehen Sie weiter zum Eingabebereich III. Zeile 1.",)))))))))</f>
        <v>Gut gemacht!  -  Sie haben alle Eingabefelder ausgefüllt. Gehen Sie weiter zum Eingabebereich III. Zeile 1.</v>
      </c>
      <c r="F21" s="104"/>
      <c r="G21" s="65"/>
      <c r="H21" s="117"/>
    </row>
    <row r="22" spans="2:8" x14ac:dyDescent="0.25">
      <c r="B22" s="116"/>
      <c r="C22" s="103"/>
      <c r="D22" s="25"/>
      <c r="E22" s="100"/>
      <c r="F22" s="104"/>
      <c r="G22" s="65"/>
      <c r="H22" s="117"/>
    </row>
    <row r="23" spans="2:8" x14ac:dyDescent="0.25">
      <c r="B23" s="116"/>
      <c r="C23" s="78" t="s">
        <v>104</v>
      </c>
      <c r="D23" s="72" t="s">
        <v>144</v>
      </c>
      <c r="E23" s="72"/>
      <c r="F23" s="72"/>
      <c r="G23" s="72"/>
      <c r="H23" s="117"/>
    </row>
    <row r="24" spans="2:8" x14ac:dyDescent="0.25">
      <c r="B24" s="116"/>
      <c r="C24" s="136">
        <v>1</v>
      </c>
      <c r="D24" s="166" t="s">
        <v>10</v>
      </c>
      <c r="E24" s="71" t="s">
        <v>165</v>
      </c>
      <c r="F24" s="165" t="s">
        <v>97</v>
      </c>
      <c r="G24" s="66" t="s">
        <v>122</v>
      </c>
      <c r="H24" s="117"/>
    </row>
    <row r="25" spans="2:8" x14ac:dyDescent="0.25">
      <c r="B25" s="116"/>
      <c r="C25" s="136">
        <f t="shared" ref="C25:C33" si="0">C24+1</f>
        <v>2</v>
      </c>
      <c r="D25" s="166" t="s">
        <v>11</v>
      </c>
      <c r="E25" s="73" t="s">
        <v>75</v>
      </c>
      <c r="F25" s="167" t="s">
        <v>75</v>
      </c>
      <c r="G25" s="76" t="s">
        <v>108</v>
      </c>
      <c r="H25" s="117"/>
    </row>
    <row r="26" spans="2:8" x14ac:dyDescent="0.25">
      <c r="B26" s="116"/>
      <c r="C26" s="136">
        <f t="shared" si="0"/>
        <v>3</v>
      </c>
      <c r="D26" s="166" t="s">
        <v>10</v>
      </c>
      <c r="E26" s="69">
        <v>1395</v>
      </c>
      <c r="F26" s="165" t="s">
        <v>53</v>
      </c>
      <c r="G26" s="76" t="s">
        <v>115</v>
      </c>
      <c r="H26" s="117"/>
    </row>
    <row r="27" spans="2:8" x14ac:dyDescent="0.25">
      <c r="B27" s="116"/>
      <c r="C27" s="136">
        <f t="shared" si="0"/>
        <v>4</v>
      </c>
      <c r="D27" s="166" t="s">
        <v>82</v>
      </c>
      <c r="E27" s="74">
        <v>55</v>
      </c>
      <c r="F27" s="165" t="s">
        <v>85</v>
      </c>
      <c r="G27" s="76" t="s">
        <v>116</v>
      </c>
      <c r="H27" s="117"/>
    </row>
    <row r="28" spans="2:8" x14ac:dyDescent="0.25">
      <c r="B28" s="116"/>
      <c r="C28" s="136">
        <f t="shared" si="0"/>
        <v>5</v>
      </c>
      <c r="D28" s="166" t="s">
        <v>10</v>
      </c>
      <c r="E28" s="69">
        <v>141182</v>
      </c>
      <c r="F28" s="167" t="s">
        <v>17</v>
      </c>
      <c r="G28" s="76" t="s">
        <v>109</v>
      </c>
      <c r="H28" s="117"/>
    </row>
    <row r="29" spans="2:8" x14ac:dyDescent="0.25">
      <c r="B29" s="116"/>
      <c r="C29" s="136">
        <f t="shared" si="0"/>
        <v>6</v>
      </c>
      <c r="D29" s="166" t="s">
        <v>11</v>
      </c>
      <c r="E29" s="68" t="s">
        <v>9</v>
      </c>
      <c r="F29" s="164" t="s">
        <v>121</v>
      </c>
      <c r="G29" s="66" t="s">
        <v>110</v>
      </c>
      <c r="H29" s="117"/>
    </row>
    <row r="30" spans="2:8" x14ac:dyDescent="0.25">
      <c r="B30" s="116"/>
      <c r="C30" s="136">
        <f t="shared" si="0"/>
        <v>7</v>
      </c>
      <c r="D30" s="166" t="s">
        <v>10</v>
      </c>
      <c r="E30" s="69">
        <v>525</v>
      </c>
      <c r="F30" s="141">
        <f>IF(E30="","",100%)</f>
        <v>1</v>
      </c>
      <c r="G30" s="76" t="s">
        <v>118</v>
      </c>
      <c r="H30" s="117"/>
    </row>
    <row r="31" spans="2:8" x14ac:dyDescent="0.25">
      <c r="B31" s="116"/>
      <c r="C31" s="136">
        <f t="shared" si="0"/>
        <v>8</v>
      </c>
      <c r="D31" s="166" t="s">
        <v>10</v>
      </c>
      <c r="E31" s="69">
        <v>39</v>
      </c>
      <c r="F31" s="138">
        <f>IFERROR(ROUND(E31/E30,4),"")</f>
        <v>7.4300000000000005E-2</v>
      </c>
      <c r="G31" s="76" t="s">
        <v>119</v>
      </c>
      <c r="H31" s="117"/>
    </row>
    <row r="32" spans="2:8" x14ac:dyDescent="0.25">
      <c r="B32" s="116"/>
      <c r="C32" s="136">
        <f t="shared" si="0"/>
        <v>9</v>
      </c>
      <c r="D32" s="166" t="s">
        <v>82</v>
      </c>
      <c r="E32" s="149">
        <f>IFERROR(ROUND(E30*F32,0),"")</f>
        <v>486</v>
      </c>
      <c r="F32" s="141">
        <f>IFERROR(IF(F31+F19&gt;100%,F30-F31,F19),"")</f>
        <v>0.92569999999999997</v>
      </c>
      <c r="G32" s="76" t="s">
        <v>120</v>
      </c>
      <c r="H32" s="117"/>
    </row>
    <row r="33" spans="2:8" x14ac:dyDescent="0.25">
      <c r="B33" s="116"/>
      <c r="C33" s="103">
        <f t="shared" si="0"/>
        <v>10</v>
      </c>
      <c r="D33" s="9"/>
      <c r="E33" s="135"/>
      <c r="F33" s="140">
        <f>IFERROR(F31+F32,"")</f>
        <v>1</v>
      </c>
      <c r="G33" s="65" t="str">
        <f>IF(F33&lt;100%,"Summe ist kleiner als 100%. (Diese Zahl wird automatisch errechnet.)","Diese Zahl wird automatisch errechnet.")</f>
        <v>Diese Zahl wird automatisch errechnet.</v>
      </c>
      <c r="H33" s="117"/>
    </row>
    <row r="34" spans="2:8" x14ac:dyDescent="0.25">
      <c r="B34" s="116"/>
      <c r="C34" s="105"/>
      <c r="D34" s="106"/>
      <c r="E34" s="129" t="str">
        <f>IF(E24="","Eingabe fehlt in Zeile 1",IF(E26="","Eingabe fehlt in Zeile 3!",IF(E27="","Eingabe fehlt in Zeile 4!",IF(E28="","Eingabe fehlt in Zeile 5!",IF(E30="","Eingabe fehlt in Zeile 7!",IF(E31="","Eingabe fehlt in Zeile 8!",IF(E24&lt;&gt;"",IF(E26&lt;&gt;"",IF(E27&lt;&gt;"",IF(E28&lt;&gt;"",IF(E30&lt;&gt;"",IF(E31&lt;&gt;"","Gut gemacht!  -  Gehen Sie weiter nach unten, um Ihre Risikoanalyse anzusehen!"))))))))))))</f>
        <v>Gut gemacht!  -  Gehen Sie weiter nach unten, um Ihre Risikoanalyse anzusehen!</v>
      </c>
      <c r="F34" s="106"/>
      <c r="G34" s="106"/>
      <c r="H34" s="117"/>
    </row>
    <row r="35" spans="2:8" x14ac:dyDescent="0.25">
      <c r="B35" s="118"/>
      <c r="C35" s="119"/>
      <c r="D35" s="120"/>
      <c r="E35" s="121"/>
      <c r="F35" s="120"/>
      <c r="G35" s="120"/>
      <c r="H35" s="122"/>
    </row>
    <row r="36" spans="2:8" x14ac:dyDescent="0.25">
      <c r="B36" s="112"/>
      <c r="C36" s="123"/>
      <c r="D36" s="124"/>
      <c r="E36" s="124"/>
      <c r="F36" s="124"/>
      <c r="G36" s="124"/>
      <c r="H36" s="115"/>
    </row>
    <row r="37" spans="2:8" ht="21" x14ac:dyDescent="0.4">
      <c r="B37" s="116"/>
      <c r="C37" s="204" t="str">
        <f>C3</f>
        <v>Schätzung meines persönlichen Covid-19 Infektions- und Sterberisikos (für "Heute") - Lightversion</v>
      </c>
      <c r="D37" s="204"/>
      <c r="E37" s="204"/>
      <c r="F37" s="204"/>
      <c r="G37" s="204"/>
      <c r="H37" s="117"/>
    </row>
    <row r="38" spans="2:8" ht="21" x14ac:dyDescent="0.4">
      <c r="B38" s="116"/>
      <c r="C38" s="203" t="s">
        <v>145</v>
      </c>
      <c r="D38" s="204"/>
      <c r="E38" s="204"/>
      <c r="F38" s="204"/>
      <c r="G38" s="204"/>
      <c r="H38" s="117"/>
    </row>
    <row r="39" spans="2:8" x14ac:dyDescent="0.25">
      <c r="B39" s="116"/>
      <c r="C39" s="10"/>
      <c r="D39" s="8"/>
      <c r="E39" s="8"/>
      <c r="F39" s="8"/>
      <c r="G39" s="8"/>
      <c r="H39" s="117"/>
    </row>
    <row r="40" spans="2:8" s="162" customFormat="1" ht="15.75" customHeight="1" x14ac:dyDescent="0.3">
      <c r="B40" s="158"/>
      <c r="C40" s="159" t="s">
        <v>97</v>
      </c>
      <c r="D40" s="159"/>
      <c r="E40" s="159"/>
      <c r="F40" s="160"/>
      <c r="G40" s="159" t="s">
        <v>138</v>
      </c>
      <c r="H40" s="161"/>
    </row>
    <row r="41" spans="2:8" x14ac:dyDescent="0.25">
      <c r="B41" s="116"/>
      <c r="C41" s="168"/>
      <c r="D41" s="169"/>
      <c r="E41" s="107">
        <f>IF(E8="","",E8)</f>
        <v>44026</v>
      </c>
      <c r="F41" s="108" t="s">
        <v>106</v>
      </c>
      <c r="G41" s="169"/>
      <c r="H41" s="117"/>
    </row>
    <row r="42" spans="2:8" x14ac:dyDescent="0.25">
      <c r="B42" s="116"/>
      <c r="C42" s="168"/>
      <c r="D42" s="169"/>
      <c r="E42" s="109" t="str">
        <f>IF(Querdenken!E24="","",Querdenken!E24)</f>
        <v>Ostallgäu</v>
      </c>
      <c r="F42" s="110" t="s">
        <v>97</v>
      </c>
      <c r="G42" s="169"/>
      <c r="H42" s="117"/>
    </row>
    <row r="43" spans="2:8" x14ac:dyDescent="0.25">
      <c r="B43" s="116"/>
      <c r="C43" s="168"/>
      <c r="D43" s="169"/>
      <c r="E43" s="131" t="str">
        <f>IF(E13="Bundesländer","",E13)</f>
        <v>Bayern</v>
      </c>
      <c r="F43" s="110" t="s">
        <v>37</v>
      </c>
      <c r="G43" s="169"/>
      <c r="H43" s="117"/>
    </row>
    <row r="44" spans="2:8" x14ac:dyDescent="0.25">
      <c r="B44" s="116"/>
      <c r="C44" s="168"/>
      <c r="D44" s="169"/>
      <c r="E44" s="132">
        <f>IF(E9="","",E9)</f>
        <v>20</v>
      </c>
      <c r="F44" s="111" t="s">
        <v>123</v>
      </c>
      <c r="G44" s="169"/>
      <c r="H44" s="117"/>
    </row>
    <row r="45" spans="2:8" x14ac:dyDescent="0.25">
      <c r="B45" s="116"/>
      <c r="C45" s="10"/>
      <c r="D45" s="8"/>
      <c r="E45" s="8"/>
      <c r="F45" s="8"/>
      <c r="G45" s="8"/>
      <c r="H45" s="117"/>
    </row>
    <row r="46" spans="2:8" ht="15.6" x14ac:dyDescent="0.3">
      <c r="B46" s="116"/>
      <c r="C46" s="79" t="s">
        <v>127</v>
      </c>
      <c r="D46" s="153" t="s">
        <v>126</v>
      </c>
      <c r="E46" s="153"/>
      <c r="F46" s="153"/>
      <c r="G46" s="153" t="s">
        <v>131</v>
      </c>
      <c r="H46" s="117"/>
    </row>
    <row r="47" spans="2:8" x14ac:dyDescent="0.25">
      <c r="B47" s="116"/>
      <c r="C47" s="170"/>
      <c r="D47" s="167"/>
      <c r="E47" s="80">
        <f>IF(Querdenken!E17=0,"",Querdenken!E17)</f>
        <v>49273</v>
      </c>
      <c r="F47" s="48">
        <f>IF(E47="","",Querdenken!F17)</f>
        <v>1</v>
      </c>
      <c r="G47" s="175" t="s">
        <v>76</v>
      </c>
      <c r="H47" s="117"/>
    </row>
    <row r="48" spans="2:8" x14ac:dyDescent="0.25">
      <c r="B48" s="116"/>
      <c r="C48" s="170" t="s">
        <v>2</v>
      </c>
      <c r="D48" s="171"/>
      <c r="E48" s="21">
        <f>IF(Querdenken!E18=0,"",Querdenken!E18)</f>
        <v>2612</v>
      </c>
      <c r="F48" s="49">
        <f>Querdenken!F18</f>
        <v>5.2999999999999999E-2</v>
      </c>
      <c r="G48" s="175" t="s">
        <v>77</v>
      </c>
      <c r="H48" s="117"/>
    </row>
    <row r="49" spans="2:8" x14ac:dyDescent="0.25">
      <c r="B49" s="116"/>
      <c r="C49" s="172" t="s">
        <v>2</v>
      </c>
      <c r="D49" s="173"/>
      <c r="E49" s="81">
        <f>IF(Querdenken!E19=0,"",Querdenken!E19)</f>
        <v>45800</v>
      </c>
      <c r="F49" s="50">
        <f>Querdenken!F19</f>
        <v>0.92949999999999999</v>
      </c>
      <c r="G49" s="176" t="s">
        <v>78</v>
      </c>
      <c r="H49" s="117"/>
    </row>
    <row r="50" spans="2:8" ht="15.6" x14ac:dyDescent="0.3">
      <c r="B50" s="116"/>
      <c r="C50" s="174" t="s">
        <v>1</v>
      </c>
      <c r="D50" s="167"/>
      <c r="E50" s="82">
        <f>IFERROR(E47-E48-E49,"")</f>
        <v>861</v>
      </c>
      <c r="F50" s="83">
        <f>IFERROR(E50/E47,"")</f>
        <v>1.7474073021736043E-2</v>
      </c>
      <c r="G50" s="177" t="s">
        <v>15</v>
      </c>
      <c r="H50" s="117"/>
    </row>
    <row r="51" spans="2:8" ht="15.6" x14ac:dyDescent="0.3">
      <c r="B51" s="116"/>
      <c r="C51" s="12"/>
      <c r="D51" s="25"/>
      <c r="E51" s="51"/>
      <c r="F51" s="52"/>
      <c r="G51" s="18"/>
      <c r="H51" s="117"/>
    </row>
    <row r="52" spans="2:8" ht="15.6" x14ac:dyDescent="0.3">
      <c r="B52" s="116"/>
      <c r="C52" s="79" t="s">
        <v>128</v>
      </c>
      <c r="D52" s="153" t="s">
        <v>126</v>
      </c>
      <c r="E52" s="153"/>
      <c r="F52" s="153"/>
      <c r="G52" s="153" t="s">
        <v>132</v>
      </c>
      <c r="H52" s="117"/>
    </row>
    <row r="53" spans="2:8" x14ac:dyDescent="0.25">
      <c r="B53" s="116"/>
      <c r="C53" s="170"/>
      <c r="D53" s="167"/>
      <c r="E53" s="26">
        <f>IF(Querdenken!E30=0,"",Querdenken!E30)</f>
        <v>525</v>
      </c>
      <c r="F53" s="48">
        <f>IF(E53="","",Querdenken!F30)</f>
        <v>1</v>
      </c>
      <c r="G53" s="175" t="s">
        <v>79</v>
      </c>
      <c r="H53" s="117"/>
    </row>
    <row r="54" spans="2:8" x14ac:dyDescent="0.25">
      <c r="B54" s="116"/>
      <c r="C54" s="170" t="s">
        <v>2</v>
      </c>
      <c r="D54" s="171"/>
      <c r="E54" s="22">
        <f>IF(Querdenken!E31=0,"",Querdenken!E31)</f>
        <v>39</v>
      </c>
      <c r="F54" s="49">
        <f>Querdenken!F31</f>
        <v>7.4300000000000005E-2</v>
      </c>
      <c r="G54" s="175" t="s">
        <v>80</v>
      </c>
      <c r="H54" s="117"/>
    </row>
    <row r="55" spans="2:8" x14ac:dyDescent="0.25">
      <c r="B55" s="116"/>
      <c r="C55" s="172" t="s">
        <v>2</v>
      </c>
      <c r="D55" s="173"/>
      <c r="E55" s="27">
        <f>Querdenken!E32</f>
        <v>486</v>
      </c>
      <c r="F55" s="50">
        <f>Querdenken!F32</f>
        <v>0.92569999999999997</v>
      </c>
      <c r="G55" s="176" t="s">
        <v>81</v>
      </c>
      <c r="H55" s="117"/>
    </row>
    <row r="56" spans="2:8" ht="15.6" x14ac:dyDescent="0.3">
      <c r="B56" s="116"/>
      <c r="C56" s="174" t="s">
        <v>1</v>
      </c>
      <c r="D56" s="167"/>
      <c r="E56" s="28">
        <f>IFERROR(E53-E54-E55,"")</f>
        <v>0</v>
      </c>
      <c r="F56" s="83">
        <f>IFERROR(E56/E53,"")</f>
        <v>0</v>
      </c>
      <c r="G56" s="177" t="s">
        <v>15</v>
      </c>
      <c r="H56" s="117"/>
    </row>
    <row r="57" spans="2:8" ht="15.6" x14ac:dyDescent="0.3">
      <c r="B57" s="116"/>
      <c r="C57" s="12"/>
      <c r="D57" s="25"/>
      <c r="E57" s="51"/>
      <c r="F57" s="52"/>
      <c r="G57" s="18"/>
      <c r="H57" s="117"/>
    </row>
    <row r="58" spans="2:8" ht="15.6" x14ac:dyDescent="0.3">
      <c r="B58" s="116"/>
      <c r="C58" s="79" t="s">
        <v>129</v>
      </c>
      <c r="D58" s="153" t="s">
        <v>130</v>
      </c>
      <c r="E58" s="153"/>
      <c r="F58" s="153"/>
      <c r="G58" s="153" t="s">
        <v>133</v>
      </c>
      <c r="H58" s="117"/>
    </row>
    <row r="59" spans="2:8" x14ac:dyDescent="0.25">
      <c r="B59" s="116"/>
      <c r="C59" s="178"/>
      <c r="D59" s="85" t="s">
        <v>6</v>
      </c>
      <c r="E59" s="86" t="s">
        <v>5</v>
      </c>
      <c r="F59" s="87" t="s">
        <v>7</v>
      </c>
      <c r="G59" s="179" t="s">
        <v>148</v>
      </c>
      <c r="H59" s="117"/>
    </row>
    <row r="60" spans="2:8" x14ac:dyDescent="0.25">
      <c r="B60" s="116"/>
      <c r="C60" s="174"/>
      <c r="D60" s="22">
        <f>E56</f>
        <v>0</v>
      </c>
      <c r="E60" s="22">
        <f>D60</f>
        <v>0</v>
      </c>
      <c r="F60" s="22">
        <f>D60</f>
        <v>0</v>
      </c>
      <c r="G60" s="180" t="str">
        <f>G50</f>
        <v>Anzahl bekannter aktiv-infektiöser Menschen (ohne Infektionsgefahr, da in Quarantäne)</v>
      </c>
      <c r="H60" s="117"/>
    </row>
    <row r="61" spans="2:8" x14ac:dyDescent="0.25">
      <c r="B61" s="116"/>
      <c r="C61" s="172" t="s">
        <v>3</v>
      </c>
      <c r="D61" s="23">
        <f>IF(D60="","",0.5)</f>
        <v>0.5</v>
      </c>
      <c r="E61" s="23">
        <f>IF(E60="","",1)</f>
        <v>1</v>
      </c>
      <c r="F61" s="23">
        <f>IF(F60="","",2)</f>
        <v>2</v>
      </c>
      <c r="G61" s="181" t="s">
        <v>12</v>
      </c>
      <c r="H61" s="117"/>
    </row>
    <row r="62" spans="2:8" ht="15.6" x14ac:dyDescent="0.3">
      <c r="B62" s="116"/>
      <c r="C62" s="174" t="s">
        <v>1</v>
      </c>
      <c r="D62" s="63">
        <f>IFERROR(ROUND(D60*D61,0),"")</f>
        <v>0</v>
      </c>
      <c r="E62" s="63">
        <f>IFERROR(ROUND(E60*E61,0),"")</f>
        <v>0</v>
      </c>
      <c r="F62" s="63">
        <f>IFERROR(ROUND(F60*F61,0),"")</f>
        <v>0</v>
      </c>
      <c r="G62" s="177" t="s">
        <v>16</v>
      </c>
      <c r="H62" s="117"/>
    </row>
    <row r="63" spans="2:8" x14ac:dyDescent="0.25">
      <c r="B63" s="116"/>
      <c r="C63" s="10"/>
      <c r="D63" s="1"/>
      <c r="E63" s="1"/>
      <c r="F63" s="1"/>
      <c r="G63" s="1"/>
      <c r="H63" s="117"/>
    </row>
    <row r="64" spans="2:8" ht="15.6" x14ac:dyDescent="0.3">
      <c r="B64" s="116"/>
      <c r="C64" s="151" t="s">
        <v>127</v>
      </c>
      <c r="D64" s="155" t="s">
        <v>135</v>
      </c>
      <c r="E64" s="155"/>
      <c r="F64" s="155"/>
      <c r="G64" s="155" t="s">
        <v>163</v>
      </c>
      <c r="H64" s="117"/>
    </row>
    <row r="65" spans="2:8" ht="15.6" x14ac:dyDescent="0.3">
      <c r="B65" s="116"/>
      <c r="C65" s="182"/>
      <c r="D65" s="15" t="str">
        <f>D59</f>
        <v>R=0,5</v>
      </c>
      <c r="E65" s="16" t="str">
        <f>E59</f>
        <v>R=1,0</v>
      </c>
      <c r="F65" s="17" t="str">
        <f>F59</f>
        <v>R=2,0</v>
      </c>
      <c r="G65" s="179" t="str">
        <f>G59</f>
        <v>Szenarien für den Reproduktionsfaktor (bis zur Veröffentlichung der nächsten RKI-Daten, d.h. "Morgen")</v>
      </c>
      <c r="H65" s="117"/>
    </row>
    <row r="66" spans="2:8" x14ac:dyDescent="0.25">
      <c r="B66" s="116"/>
      <c r="C66" s="170"/>
      <c r="D66" s="3">
        <f>IF(E26=0,"",E26)</f>
        <v>1395</v>
      </c>
      <c r="E66" s="3">
        <f>D66</f>
        <v>1395</v>
      </c>
      <c r="F66" s="3">
        <f>D66</f>
        <v>1395</v>
      </c>
      <c r="G66" s="175" t="s">
        <v>86</v>
      </c>
      <c r="H66" s="117"/>
    </row>
    <row r="67" spans="2:8" x14ac:dyDescent="0.25">
      <c r="B67" s="116"/>
      <c r="C67" s="172" t="s">
        <v>3</v>
      </c>
      <c r="D67" s="5">
        <f>IF(ROUND(E27/100,2)=0,"",ROUND(E27/100,2))</f>
        <v>0.55000000000000004</v>
      </c>
      <c r="E67" s="5">
        <f>D67</f>
        <v>0.55000000000000004</v>
      </c>
      <c r="F67" s="5">
        <f>D67</f>
        <v>0.55000000000000004</v>
      </c>
      <c r="G67" s="176" t="s">
        <v>99</v>
      </c>
      <c r="H67" s="117"/>
    </row>
    <row r="68" spans="2:8" x14ac:dyDescent="0.25">
      <c r="B68" s="116"/>
      <c r="C68" s="170" t="s">
        <v>1</v>
      </c>
      <c r="D68" s="84">
        <f>IFERROR(ROUND(D66*D67,0),"")</f>
        <v>767</v>
      </c>
      <c r="E68" s="84">
        <f>IFERROR(ROUND(E66*E67,0),"")</f>
        <v>767</v>
      </c>
      <c r="F68" s="84">
        <f>IFERROR(ROUND(F66*F67,0),"")</f>
        <v>767</v>
      </c>
      <c r="G68" s="175" t="s">
        <v>87</v>
      </c>
      <c r="H68" s="117"/>
    </row>
    <row r="69" spans="2:8" x14ac:dyDescent="0.25">
      <c r="B69" s="116"/>
      <c r="C69" s="172" t="s">
        <v>0</v>
      </c>
      <c r="D69" s="4">
        <f>D62</f>
        <v>0</v>
      </c>
      <c r="E69" s="4">
        <f>E62</f>
        <v>0</v>
      </c>
      <c r="F69" s="4">
        <f>F62</f>
        <v>0</v>
      </c>
      <c r="G69" s="185" t="str">
        <f>G62</f>
        <v>Anzahl unbekannter aktiv-infektiöser Menschen (mit Infektionsgefahr, da nicht in Quarantäne)</v>
      </c>
      <c r="H69" s="117"/>
    </row>
    <row r="70" spans="2:8" ht="15.6" x14ac:dyDescent="0.3">
      <c r="B70" s="116"/>
      <c r="C70" s="174" t="s">
        <v>1</v>
      </c>
      <c r="D70" s="11">
        <f>IFERROR(IF(D69=0,D68,D68/D69),"")</f>
        <v>767</v>
      </c>
      <c r="E70" s="11">
        <f>IFERROR(IF(E69=0,E68,E68/E69),"")</f>
        <v>767</v>
      </c>
      <c r="F70" s="11">
        <f>IFERROR(IF(F69=0,F68,F68/F69),"")</f>
        <v>767</v>
      </c>
      <c r="G70" s="177" t="s">
        <v>155</v>
      </c>
      <c r="H70" s="117"/>
    </row>
    <row r="71" spans="2:8" ht="15.6" x14ac:dyDescent="0.3">
      <c r="B71" s="116"/>
      <c r="C71" s="12"/>
      <c r="D71" s="201"/>
      <c r="E71" s="201"/>
      <c r="F71" s="201"/>
      <c r="G71" s="177"/>
      <c r="H71" s="117"/>
    </row>
    <row r="72" spans="2:8" ht="15.6" x14ac:dyDescent="0.3">
      <c r="B72" s="116"/>
      <c r="C72" s="150" t="s">
        <v>60</v>
      </c>
      <c r="D72" s="154" t="s">
        <v>134</v>
      </c>
      <c r="E72" s="154"/>
      <c r="F72" s="154"/>
      <c r="G72" s="154" t="s">
        <v>154</v>
      </c>
      <c r="H72" s="117"/>
    </row>
    <row r="73" spans="2:8" ht="15.6" x14ac:dyDescent="0.3">
      <c r="B73" s="116"/>
      <c r="C73" s="182"/>
      <c r="D73" s="85" t="s">
        <v>6</v>
      </c>
      <c r="E73" s="86" t="s">
        <v>5</v>
      </c>
      <c r="F73" s="87" t="s">
        <v>7</v>
      </c>
      <c r="G73" s="179" t="str">
        <f>G67</f>
        <v>Anteil der Siedlungsflächen an Flächen gesamt</v>
      </c>
      <c r="H73" s="117"/>
    </row>
    <row r="74" spans="2:8" x14ac:dyDescent="0.25">
      <c r="B74" s="116"/>
      <c r="C74" s="170"/>
      <c r="D74" s="3">
        <f>IFERROR(E28,"")</f>
        <v>141182</v>
      </c>
      <c r="E74" s="3">
        <f>D74</f>
        <v>141182</v>
      </c>
      <c r="F74" s="3">
        <f>D74</f>
        <v>141182</v>
      </c>
      <c r="G74" s="175" t="s">
        <v>17</v>
      </c>
      <c r="H74" s="117"/>
    </row>
    <row r="75" spans="2:8" x14ac:dyDescent="0.25">
      <c r="B75" s="116"/>
      <c r="C75" s="170" t="s">
        <v>0</v>
      </c>
      <c r="D75" s="202">
        <f>IFERROR(D62,"")</f>
        <v>0</v>
      </c>
      <c r="E75" s="202">
        <f>IFERROR(E62,"")</f>
        <v>0</v>
      </c>
      <c r="F75" s="202">
        <f>IFERROR(F62,"")</f>
        <v>0</v>
      </c>
      <c r="G75" s="177" t="str">
        <f>G69</f>
        <v>Anzahl unbekannter aktiv-infektiöser Menschen (mit Infektionsgefahr, da nicht in Quarantäne)</v>
      </c>
      <c r="H75" s="117"/>
    </row>
    <row r="76" spans="2:8" ht="15.6" x14ac:dyDescent="0.3">
      <c r="B76" s="116"/>
      <c r="C76" s="183" t="s">
        <v>1</v>
      </c>
      <c r="D76" s="63">
        <f>IFERROR(IF(D75=0,D74,ROUND(D74/D75,0)),"")</f>
        <v>141182</v>
      </c>
      <c r="E76" s="63">
        <f>IFERROR(IF(E75=0,E74,ROUND(E74/E75,0)),"")</f>
        <v>141182</v>
      </c>
      <c r="F76" s="63">
        <f>IFERROR(IF(F75=0,F74,ROUND(F74/F75,0)),"")</f>
        <v>141182</v>
      </c>
      <c r="G76" s="184" t="s">
        <v>153</v>
      </c>
      <c r="H76" s="117"/>
    </row>
    <row r="77" spans="2:8" ht="15" x14ac:dyDescent="0.25">
      <c r="B77" s="116"/>
      <c r="C77" s="174" t="s">
        <v>1</v>
      </c>
      <c r="D77" s="195">
        <f>IFERROR(1/D76,"")</f>
        <v>7.0830559136433821E-6</v>
      </c>
      <c r="E77" s="195">
        <f>IFERROR(1/E76,"")</f>
        <v>7.0830559136433821E-6</v>
      </c>
      <c r="F77" s="195">
        <f>IFERROR(1/F76,"")</f>
        <v>7.0830559136433821E-6</v>
      </c>
      <c r="G77" s="177" t="s">
        <v>157</v>
      </c>
      <c r="H77" s="117"/>
    </row>
    <row r="78" spans="2:8" x14ac:dyDescent="0.25">
      <c r="B78" s="116"/>
      <c r="C78" s="12"/>
      <c r="D78" s="13"/>
      <c r="E78" s="13"/>
      <c r="F78" s="13"/>
      <c r="G78" s="2"/>
      <c r="H78" s="117"/>
    </row>
    <row r="79" spans="2:8" x14ac:dyDescent="0.25">
      <c r="B79" s="116"/>
      <c r="C79" s="12"/>
      <c r="D79" s="13"/>
      <c r="E79" s="13"/>
      <c r="F79" s="13"/>
      <c r="G79" s="2"/>
      <c r="H79" s="117"/>
    </row>
    <row r="80" spans="2:8" ht="15.6" x14ac:dyDescent="0.3">
      <c r="B80" s="116"/>
      <c r="C80" s="152" t="s">
        <v>136</v>
      </c>
      <c r="D80" s="152" t="s">
        <v>149</v>
      </c>
      <c r="E80" s="152"/>
      <c r="F80" s="152"/>
      <c r="G80" s="152" t="s">
        <v>162</v>
      </c>
      <c r="H80" s="117"/>
    </row>
    <row r="81" spans="2:8" x14ac:dyDescent="0.25">
      <c r="B81" s="116"/>
      <c r="C81" s="186"/>
      <c r="D81" s="85" t="s">
        <v>6</v>
      </c>
      <c r="E81" s="86" t="s">
        <v>5</v>
      </c>
      <c r="F81" s="87" t="s">
        <v>7</v>
      </c>
      <c r="G81" s="179" t="str">
        <f>G59</f>
        <v>Szenarien für den Reproduktionsfaktor (bis zur Veröffentlichung der nächsten RKI-Daten, d.h. "Morgen")</v>
      </c>
      <c r="H81" s="117"/>
    </row>
    <row r="82" spans="2:8" x14ac:dyDescent="0.25">
      <c r="B82" s="116"/>
      <c r="C82" s="170"/>
      <c r="D82" s="19">
        <f>IFERROR(D76,"")</f>
        <v>141182</v>
      </c>
      <c r="E82" s="19">
        <f>IFERROR(E76,"")</f>
        <v>141182</v>
      </c>
      <c r="F82" s="3">
        <f>IFERROR(F76,"")</f>
        <v>141182</v>
      </c>
      <c r="G82" s="177" t="str">
        <f>G76</f>
        <v>Größe der Einwohnergruppe in der sich durchschnittlich je 1 unbekannter infektiöser Mensch befindet</v>
      </c>
      <c r="H82" s="117"/>
    </row>
    <row r="83" spans="2:8" x14ac:dyDescent="0.25">
      <c r="B83" s="116"/>
      <c r="C83" s="172" t="s">
        <v>0</v>
      </c>
      <c r="D83" s="24">
        <f>IF(D82="","",E9)</f>
        <v>20</v>
      </c>
      <c r="E83" s="4">
        <f>D83</f>
        <v>20</v>
      </c>
      <c r="F83" s="4">
        <f>D83</f>
        <v>20</v>
      </c>
      <c r="G83" s="176" t="s">
        <v>158</v>
      </c>
      <c r="H83" s="117"/>
    </row>
    <row r="84" spans="2:8" ht="15.6" x14ac:dyDescent="0.3">
      <c r="B84" s="116"/>
      <c r="C84" s="174" t="s">
        <v>1</v>
      </c>
      <c r="D84" s="194">
        <f>IFERROR(ROUND(D82/D83,4),"")</f>
        <v>7059.1</v>
      </c>
      <c r="E84" s="194">
        <f>IFERROR(ROUND(E82/E83,4),"")</f>
        <v>7059.1</v>
      </c>
      <c r="F84" s="64">
        <f>IFERROR(ROUND(F82/F83,4),"")</f>
        <v>7059.1</v>
      </c>
      <c r="G84" s="187" t="s">
        <v>156</v>
      </c>
      <c r="H84" s="117"/>
    </row>
    <row r="85" spans="2:8" ht="15" x14ac:dyDescent="0.25">
      <c r="B85" s="116"/>
      <c r="C85" s="174" t="s">
        <v>1</v>
      </c>
      <c r="D85" s="195">
        <f>IFERROR(1/D84,"")</f>
        <v>1.4166111827286764E-4</v>
      </c>
      <c r="E85" s="195">
        <f>IFERROR(1/E84,"")</f>
        <v>1.4166111827286764E-4</v>
      </c>
      <c r="F85" s="195">
        <f>IFERROR(1/F84,"")</f>
        <v>1.4166111827286764E-4</v>
      </c>
      <c r="G85" s="187" t="s">
        <v>159</v>
      </c>
      <c r="H85" s="117"/>
    </row>
    <row r="86" spans="2:8" ht="15.6" x14ac:dyDescent="0.3">
      <c r="B86" s="116"/>
      <c r="C86" s="12"/>
      <c r="D86" s="14"/>
      <c r="E86" s="14"/>
      <c r="F86" s="14"/>
      <c r="G86" s="8"/>
      <c r="H86" s="117"/>
    </row>
    <row r="87" spans="2:8" ht="15.6" x14ac:dyDescent="0.3">
      <c r="B87" s="116"/>
      <c r="C87" s="152" t="s">
        <v>137</v>
      </c>
      <c r="D87" s="156" t="s">
        <v>150</v>
      </c>
      <c r="E87" s="156"/>
      <c r="F87" s="156"/>
      <c r="G87" s="156" t="s">
        <v>161</v>
      </c>
      <c r="H87" s="117"/>
    </row>
    <row r="88" spans="2:8" x14ac:dyDescent="0.25">
      <c r="B88" s="116"/>
      <c r="C88" s="188" t="s">
        <v>8</v>
      </c>
      <c r="D88" s="15" t="str">
        <f>D59</f>
        <v>R=0,5</v>
      </c>
      <c r="E88" s="15" t="str">
        <f>E59</f>
        <v>R=1,0</v>
      </c>
      <c r="F88" s="15" t="str">
        <f>F59</f>
        <v>R=2,0</v>
      </c>
      <c r="G88" s="193" t="str">
        <f>G59</f>
        <v>Szenarien für den Reproduktionsfaktor (bis zur Veröffentlichung der nächsten RKI-Daten, d.h. "Morgen")</v>
      </c>
      <c r="H88" s="117"/>
    </row>
    <row r="89" spans="2:8" x14ac:dyDescent="0.25">
      <c r="B89" s="116"/>
      <c r="C89" s="189"/>
      <c r="D89" s="198">
        <f>IFERROR(D84,"")</f>
        <v>7059.1</v>
      </c>
      <c r="E89" s="198">
        <f>IFERROR(E84,"")</f>
        <v>7059.1</v>
      </c>
      <c r="F89" s="199">
        <f>IFERROR(F84,"")</f>
        <v>7059.1</v>
      </c>
      <c r="G89" s="175" t="str">
        <f>G84</f>
        <v>Anzahl von Tagen, die ich durchschnittlich benötigen würde, um mit 1 unbekannten infektiösen Menschen in Nahkontakt (&lt;1,5 m) zu kommen</v>
      </c>
      <c r="H89" s="117"/>
    </row>
    <row r="90" spans="2:8" x14ac:dyDescent="0.25">
      <c r="B90" s="116"/>
      <c r="C90" s="190" t="s">
        <v>0</v>
      </c>
      <c r="D90" s="20">
        <f>IFERROR($F$31,"")</f>
        <v>7.4300000000000005E-2</v>
      </c>
      <c r="E90" s="20">
        <f>IFERROR($F$31,"")</f>
        <v>7.4300000000000005E-2</v>
      </c>
      <c r="F90" s="5">
        <f>IFERROR($F$31,"")</f>
        <v>7.4300000000000005E-2</v>
      </c>
      <c r="G90" s="176" t="s">
        <v>18</v>
      </c>
      <c r="H90" s="117"/>
    </row>
    <row r="91" spans="2:8" x14ac:dyDescent="0.25">
      <c r="B91" s="116"/>
      <c r="C91" s="189" t="s">
        <v>1</v>
      </c>
      <c r="D91" s="199">
        <f>IFERROR(ROUND(D89/D90,2),"")</f>
        <v>95008.08</v>
      </c>
      <c r="E91" s="199">
        <f>IFERROR(ROUND(E89/E90,2),"")</f>
        <v>95008.08</v>
      </c>
      <c r="F91" s="199">
        <f>IFERROR(ROUND(F89/F90,2),"")</f>
        <v>95008.08</v>
      </c>
      <c r="G91" s="196" t="s">
        <v>151</v>
      </c>
      <c r="H91" s="117"/>
    </row>
    <row r="92" spans="2:8" x14ac:dyDescent="0.25">
      <c r="B92" s="116"/>
      <c r="C92" s="192" t="s">
        <v>0</v>
      </c>
      <c r="D92" s="6">
        <f>IF(D91="","",365.25)</f>
        <v>365.25</v>
      </c>
      <c r="E92" s="6">
        <f>IF(E91="","",365.25)</f>
        <v>365.25</v>
      </c>
      <c r="F92" s="6">
        <f>IF(F91="","",365.25)</f>
        <v>365.25</v>
      </c>
      <c r="G92" s="197" t="s">
        <v>4</v>
      </c>
      <c r="H92" s="117"/>
    </row>
    <row r="93" spans="2:8" ht="15.6" x14ac:dyDescent="0.3">
      <c r="B93" s="116"/>
      <c r="C93" s="191" t="s">
        <v>1</v>
      </c>
      <c r="D93" s="64">
        <f>IFERROR(ROUND(D91/D92,2),"")</f>
        <v>260.12</v>
      </c>
      <c r="E93" s="64">
        <f>IFERROR(ROUND(E91/E92,2),"")</f>
        <v>260.12</v>
      </c>
      <c r="F93" s="64">
        <f>IFERROR(ROUND(F91/F92,2),"")</f>
        <v>260.12</v>
      </c>
      <c r="G93" s="175" t="s">
        <v>152</v>
      </c>
      <c r="H93" s="117"/>
    </row>
    <row r="94" spans="2:8" ht="15" x14ac:dyDescent="0.25">
      <c r="B94" s="116"/>
      <c r="C94" s="191" t="s">
        <v>1</v>
      </c>
      <c r="D94" s="195">
        <f>IFERROR(1/D91,"")</f>
        <v>1.0525420574755325E-5</v>
      </c>
      <c r="E94" s="195">
        <f>IFERROR(1/E91,"")</f>
        <v>1.0525420574755325E-5</v>
      </c>
      <c r="F94" s="195">
        <f>IFERROR(1/F91,"")</f>
        <v>1.0525420574755325E-5</v>
      </c>
      <c r="G94" s="175" t="s">
        <v>160</v>
      </c>
      <c r="H94" s="117"/>
    </row>
    <row r="95" spans="2:8" x14ac:dyDescent="0.25">
      <c r="B95" s="118"/>
      <c r="C95" s="125"/>
      <c r="D95" s="126"/>
      <c r="E95" s="126"/>
      <c r="F95" s="126"/>
      <c r="G95" s="127" t="s">
        <v>124</v>
      </c>
      <c r="H95" s="122"/>
    </row>
    <row r="97" spans="4:4" x14ac:dyDescent="0.25">
      <c r="D97" s="200"/>
    </row>
  </sheetData>
  <sheetProtection algorithmName="SHA-512" hashValue="V8mz5LoCerq413qfDHw3x0XaDqT2svKRvaMgJXZZcB2lfdotH5oRxvGbzoAwoJonRbFBVOV8sABIJ9UHn1mp9w==" saltValue="p1G7naqQ8anijFqEcjkHdQ==" spinCount="100000" sheet="1" objects="1" scenarios="1"/>
  <mergeCells count="5">
    <mergeCell ref="C3:G3"/>
    <mergeCell ref="D7:G7"/>
    <mergeCell ref="D12:G12"/>
    <mergeCell ref="C37:G37"/>
    <mergeCell ref="C38:G38"/>
  </mergeCells>
  <dataValidations count="11">
    <dataValidation type="whole" allowBlank="1" showInputMessage="1" showErrorMessage="1" errorTitle="ungültige Eingabe" error="Geben Sie eine ganze Zahl (wie z.B. 439 ) größer Null ein!_x000a_Diese Zahl kann aber nicht größer als die Anzahl der &quot;Fälle total&quot; sein." sqref="E18" xr:uid="{5C5EEFA9-BC7B-4A3C-A805-7EDB8DDF20C2}">
      <formula1>1</formula1>
      <formula2>E17</formula2>
    </dataValidation>
    <dataValidation type="whole" allowBlank="1" showInputMessage="1" showErrorMessage="1" errorTitle="ungültige Eingabe" error="Geben Sie eine ganze Zahl (wie z.B. 32) ein!_x000a_Diese Zahl muss größer-gleich Null sein. Die Zahl muss kleiner-gleich der &quot;Fälle total&quot; sein._x000a_." sqref="E31" xr:uid="{652341DE-ADCB-48BC-98C1-E6D162553019}">
      <formula1>0</formula1>
      <formula2>E30</formula2>
    </dataValidation>
    <dataValidation type="whole" allowBlank="1" showInputMessage="1" showErrorMessage="1" errorTitle="ungültige Eingabe" error="Geben Sie eine ganze Zahl (wie z.B. 37) ein!_x000a_Diese Zahl muss größer-gleich Null sein, kann aber nicht größer als die Zahl der &quot;Fälle total&quot; im Bundesland sein." sqref="E30" xr:uid="{01DAA876-020C-4052-A599-5291CD4F9E6F}">
      <formula1>0</formula1>
      <formula2>E17</formula2>
    </dataValidation>
    <dataValidation type="whole" allowBlank="1" showInputMessage="1" showErrorMessage="1" errorTitle="ungültige Eingabe" error="Gegen Sie eine ganze Zahl (wie z.B. 1.352)._x000a_Diese Zahl muss größer als Null sein, aber kann nicht größer als die Einwohnerzahl im Bundesland sein." sqref="E28" xr:uid="{4BDDF9DD-0B65-4EE8-B184-9C8F16B303B8}">
      <formula1>1</formula1>
      <formula2>E15</formula2>
    </dataValidation>
    <dataValidation type="decimal" allowBlank="1" showInputMessage="1" showErrorMessage="1" errorTitle="ungültige Eingabe" error="Geben Sie eine ganze Zahl (wie z.B. 249) ein!_x000a_Diese Zahl muss größer als Null sein, kann aber nicht größer als die Siedlungsgebietsfläche im Bundesland sein." sqref="E26" xr:uid="{E312CC0F-257A-4B27-8A44-2558156DD78C}">
      <formula1>0</formula1>
      <formula2>E14</formula2>
    </dataValidation>
    <dataValidation type="custom" allowBlank="1" showInputMessage="1" showErrorMessage="1" errorTitle="ungültige Eingabe" error="Geben Sie eine ganze Zahl (wie z.B. 3.268 ) ein, die größer als Null ist! _x000a_Diese Zahl kann aber nicht größer als die Anzahl der &quot;Fälle total&quot; sein." sqref="E19" xr:uid="{50C36797-44D3-414F-A91C-1C477EAF8539}">
      <formula1>E19&lt;=(E17-E18)</formula1>
    </dataValidation>
    <dataValidation type="decimal" allowBlank="1" showInputMessage="1" showErrorMessage="1" errorTitle="ungültige Eingabe" error="Geben Sie eine Zahl ein, die größer als Null und kleiner als 100 ist!" sqref="E27" xr:uid="{CF7C4424-70F8-4212-A939-5EE5F2DE6131}">
      <formula1>0</formula1>
      <formula2>100</formula2>
    </dataValidation>
    <dataValidation type="custom" allowBlank="1" showInputMessage="1" showErrorMessage="1" errorTitle="ungültige Eingabe" error="Geben Sie einen Text (wie z..B. Hamburg) ein! " sqref="E24" xr:uid="{9E1BE6C3-7CAB-4132-AA8B-24EE8B9B1273}">
      <formula1>ISTEXT(E24)</formula1>
    </dataValidation>
    <dataValidation type="whole" operator="greaterThanOrEqual" allowBlank="1" showInputMessage="1" showErrorMessage="1" errorTitle="ungültige Eingabe" error="Geben Sie eine ganze Zahl (wie z.B. 1.988 ) ein, die größer-gleich Null ist! " sqref="E17" xr:uid="{844E1346-EBF2-4668-B6C4-A4C18D4E4184}">
      <formula1>0</formula1>
    </dataValidation>
    <dataValidation type="whole" operator="greaterThan" allowBlank="1" showInputMessage="1" showErrorMessage="1" errorTitle="ungültig Eingabe" error="Geben Sie ein ganze Zahl (wie z.B. 10) ein, die größer als Null ist!" sqref="E9" xr:uid="{BD692C3D-A0B8-439B-B458-6E765F7115F5}">
      <formula1>0</formula1>
    </dataValidation>
    <dataValidation type="date" allowBlank="1" showInputMessage="1" showErrorMessage="1" errorTitle="ungültige Eingabe" error="Geben Sie ein Datum im Format_x000a_TT,MM,JJ ein, das zwischen dem 28.0.2.2020 und heute liegt!" sqref="E8" xr:uid="{CA6E293F-83C6-4EEA-AB06-8284DC7FD6CF}">
      <formula1>43891</formula1>
      <formula2>TODAY()</formula2>
    </dataValidation>
  </dataValidations>
  <hyperlinks>
    <hyperlink ref="E29" r:id="rId1" display="Robert-Koch-Institut: Covid-19-Dashboard" xr:uid="{305EADE2-BE66-47AF-BF44-A1A7BD7FEA11}"/>
    <hyperlink ref="E25" r:id="rId2" xr:uid="{8ABD5B54-A043-4488-846D-7B655F7E41AF}"/>
    <hyperlink ref="E16" r:id="rId3" display="Robert-Koch-Institut: Covid-19-Dashboard" xr:uid="{EA5EBBCE-283E-429D-A59E-86D8C34F905A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51" orientation="portrait" horizontalDpi="1200" verticalDpi="1200" r:id="rId4"/>
  <headerFooter>
    <oddHeader>&amp;CSchätzung meines persönlichen Covid-19 Infektions- und Sterberisikos
&amp;"Arial,Fett"&amp;12Risikoanalyse - Lightversion</oddHeader>
    <oddFooter>&amp;CSeite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D87A74-30A9-4775-98D8-C412A8F33A8D}">
          <x14:formula1>
            <xm:f>allg.Daten!$C$7:$C$23</xm:f>
          </x14:formula1>
          <xm:sqref>E13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B2:E40"/>
  <sheetViews>
    <sheetView topLeftCell="A4" zoomScaleNormal="100" workbookViewId="0">
      <selection activeCell="D46" sqref="D46"/>
    </sheetView>
  </sheetViews>
  <sheetFormatPr baseColWidth="10" defaultColWidth="11.44140625" defaultRowHeight="15" x14ac:dyDescent="0.25"/>
  <cols>
    <col min="1" max="2" width="1.77734375" style="143" customWidth="1"/>
    <col min="3" max="3" width="24.44140625" style="143" bestFit="1" customWidth="1"/>
    <col min="4" max="4" width="131.21875" style="143" customWidth="1"/>
    <col min="5" max="5" width="1.77734375" style="143" customWidth="1"/>
    <col min="6" max="16384" width="11.44140625" style="143"/>
  </cols>
  <sheetData>
    <row r="2" spans="2:5" x14ac:dyDescent="0.25">
      <c r="B2" s="29"/>
      <c r="C2" s="91"/>
      <c r="D2" s="91"/>
      <c r="E2" s="142"/>
    </row>
    <row r="3" spans="2:5" ht="17.399999999999999" x14ac:dyDescent="0.3">
      <c r="B3" s="30"/>
      <c r="C3" s="208" t="s">
        <v>13</v>
      </c>
      <c r="D3" s="208"/>
      <c r="E3" s="144"/>
    </row>
    <row r="4" spans="2:5" x14ac:dyDescent="0.25">
      <c r="B4" s="30"/>
      <c r="C4" s="89" t="s">
        <v>26</v>
      </c>
      <c r="D4" s="90" t="s">
        <v>27</v>
      </c>
      <c r="E4" s="144"/>
    </row>
    <row r="5" spans="2:5" ht="15.6" x14ac:dyDescent="0.3">
      <c r="B5" s="30"/>
      <c r="C5" s="88"/>
      <c r="D5" s="97"/>
      <c r="E5" s="144"/>
    </row>
    <row r="6" spans="2:5" ht="17.399999999999999" x14ac:dyDescent="0.3">
      <c r="B6" s="92"/>
      <c r="C6" s="209" t="s">
        <v>14</v>
      </c>
      <c r="D6" s="209"/>
      <c r="E6" s="144"/>
    </row>
    <row r="7" spans="2:5" x14ac:dyDescent="0.25">
      <c r="B7" s="30"/>
      <c r="C7" s="88" t="s">
        <v>19</v>
      </c>
      <c r="D7" s="90" t="s">
        <v>21</v>
      </c>
      <c r="E7" s="144"/>
    </row>
    <row r="8" spans="2:5" x14ac:dyDescent="0.25">
      <c r="B8" s="30"/>
      <c r="C8" s="88" t="s">
        <v>19</v>
      </c>
      <c r="D8" s="90" t="s">
        <v>22</v>
      </c>
      <c r="E8" s="144"/>
    </row>
    <row r="9" spans="2:5" x14ac:dyDescent="0.25">
      <c r="B9" s="30"/>
      <c r="C9" s="88" t="s">
        <v>20</v>
      </c>
      <c r="D9" s="90" t="s">
        <v>24</v>
      </c>
      <c r="E9" s="144"/>
    </row>
    <row r="10" spans="2:5" x14ac:dyDescent="0.25">
      <c r="B10" s="30"/>
      <c r="C10" s="88" t="s">
        <v>88</v>
      </c>
      <c r="D10" s="90" t="s">
        <v>23</v>
      </c>
      <c r="E10" s="144"/>
    </row>
    <row r="11" spans="2:5" x14ac:dyDescent="0.25">
      <c r="B11" s="30"/>
      <c r="C11" s="88" t="s">
        <v>19</v>
      </c>
      <c r="D11" s="90" t="s">
        <v>25</v>
      </c>
      <c r="E11" s="144"/>
    </row>
    <row r="12" spans="2:5" x14ac:dyDescent="0.25">
      <c r="B12" s="30"/>
      <c r="C12" s="88"/>
      <c r="D12" s="88"/>
      <c r="E12" s="144"/>
    </row>
    <row r="13" spans="2:5" x14ac:dyDescent="0.25">
      <c r="B13" s="30"/>
      <c r="C13" s="210" t="s">
        <v>28</v>
      </c>
      <c r="D13" s="210"/>
      <c r="E13" s="144"/>
    </row>
    <row r="14" spans="2:5" x14ac:dyDescent="0.25">
      <c r="B14" s="30"/>
      <c r="C14" s="210" t="s">
        <v>29</v>
      </c>
      <c r="D14" s="210"/>
      <c r="E14" s="144"/>
    </row>
    <row r="15" spans="2:5" x14ac:dyDescent="0.25">
      <c r="B15" s="30"/>
      <c r="C15" s="210" t="s">
        <v>30</v>
      </c>
      <c r="D15" s="210"/>
      <c r="E15" s="144"/>
    </row>
    <row r="16" spans="2:5" x14ac:dyDescent="0.25">
      <c r="B16" s="30"/>
      <c r="C16" s="210" t="s">
        <v>31</v>
      </c>
      <c r="D16" s="210"/>
      <c r="E16" s="144"/>
    </row>
    <row r="17" spans="2:5" x14ac:dyDescent="0.25">
      <c r="B17" s="30"/>
      <c r="C17" s="210" t="s">
        <v>32</v>
      </c>
      <c r="D17" s="210"/>
      <c r="E17" s="144"/>
    </row>
    <row r="18" spans="2:5" x14ac:dyDescent="0.25">
      <c r="B18" s="30"/>
      <c r="C18" s="210"/>
      <c r="D18" s="210"/>
      <c r="E18" s="144"/>
    </row>
    <row r="19" spans="2:5" s="146" customFormat="1" ht="17.399999999999999" x14ac:dyDescent="0.3">
      <c r="B19" s="93"/>
      <c r="C19" s="211" t="s">
        <v>61</v>
      </c>
      <c r="D19" s="211"/>
      <c r="E19" s="145"/>
    </row>
    <row r="20" spans="2:5" s="146" customFormat="1" ht="17.399999999999999" x14ac:dyDescent="0.3">
      <c r="B20" s="93"/>
      <c r="C20" s="211" t="s">
        <v>33</v>
      </c>
      <c r="D20" s="211"/>
      <c r="E20" s="145"/>
    </row>
    <row r="21" spans="2:5" x14ac:dyDescent="0.25">
      <c r="B21" s="30"/>
      <c r="C21" s="94"/>
      <c r="D21" s="94"/>
      <c r="E21" s="144"/>
    </row>
    <row r="22" spans="2:5" x14ac:dyDescent="0.25">
      <c r="B22" s="30"/>
      <c r="C22" s="212" t="s">
        <v>96</v>
      </c>
      <c r="D22" s="212"/>
      <c r="E22" s="144"/>
    </row>
    <row r="23" spans="2:5" x14ac:dyDescent="0.25">
      <c r="B23" s="30"/>
      <c r="C23" s="212" t="s">
        <v>62</v>
      </c>
      <c r="D23" s="212"/>
      <c r="E23" s="144"/>
    </row>
    <row r="24" spans="2:5" x14ac:dyDescent="0.25">
      <c r="B24" s="30"/>
      <c r="C24" s="212" t="s">
        <v>64</v>
      </c>
      <c r="D24" s="212"/>
      <c r="E24" s="144"/>
    </row>
    <row r="25" spans="2:5" x14ac:dyDescent="0.25">
      <c r="B25" s="30"/>
      <c r="C25" s="212" t="s">
        <v>65</v>
      </c>
      <c r="D25" s="212"/>
      <c r="E25" s="144"/>
    </row>
    <row r="26" spans="2:5" x14ac:dyDescent="0.25">
      <c r="B26" s="30"/>
      <c r="C26" s="210" t="s">
        <v>63</v>
      </c>
      <c r="D26" s="210"/>
      <c r="E26" s="144"/>
    </row>
    <row r="27" spans="2:5" x14ac:dyDescent="0.25">
      <c r="B27" s="30"/>
      <c r="C27" s="210" t="s">
        <v>66</v>
      </c>
      <c r="D27" s="210"/>
      <c r="E27" s="144"/>
    </row>
    <row r="28" spans="2:5" x14ac:dyDescent="0.25">
      <c r="B28" s="30"/>
      <c r="C28" s="210" t="s">
        <v>67</v>
      </c>
      <c r="D28" s="210"/>
      <c r="E28" s="144"/>
    </row>
    <row r="29" spans="2:5" x14ac:dyDescent="0.25">
      <c r="B29" s="30"/>
      <c r="C29" s="210" t="s">
        <v>68</v>
      </c>
      <c r="D29" s="210"/>
      <c r="E29" s="144"/>
    </row>
    <row r="30" spans="2:5" x14ac:dyDescent="0.25">
      <c r="B30" s="30"/>
      <c r="C30" s="210" t="s">
        <v>69</v>
      </c>
      <c r="D30" s="210"/>
      <c r="E30" s="144"/>
    </row>
    <row r="31" spans="2:5" x14ac:dyDescent="0.25">
      <c r="B31" s="30"/>
      <c r="C31" s="210" t="s">
        <v>70</v>
      </c>
      <c r="D31" s="210"/>
      <c r="E31" s="144"/>
    </row>
    <row r="32" spans="2:5" x14ac:dyDescent="0.25">
      <c r="B32" s="30"/>
      <c r="C32" s="89"/>
      <c r="D32" s="89"/>
      <c r="E32" s="144"/>
    </row>
    <row r="33" spans="2:5" x14ac:dyDescent="0.25">
      <c r="B33" s="30"/>
      <c r="C33" s="210" t="s">
        <v>71</v>
      </c>
      <c r="D33" s="210"/>
      <c r="E33" s="144"/>
    </row>
    <row r="34" spans="2:5" s="146" customFormat="1" ht="17.399999999999999" x14ac:dyDescent="0.3">
      <c r="B34" s="93"/>
      <c r="C34" s="211" t="s">
        <v>72</v>
      </c>
      <c r="D34" s="211"/>
      <c r="E34" s="145"/>
    </row>
    <row r="35" spans="2:5" s="146" customFormat="1" ht="17.399999999999999" x14ac:dyDescent="0.3">
      <c r="B35" s="93"/>
      <c r="C35" s="211" t="s">
        <v>73</v>
      </c>
      <c r="D35" s="211"/>
      <c r="E35" s="145"/>
    </row>
    <row r="36" spans="2:5" ht="17.399999999999999" x14ac:dyDescent="0.3">
      <c r="B36" s="30"/>
      <c r="C36" s="211" t="s">
        <v>74</v>
      </c>
      <c r="D36" s="211"/>
      <c r="E36" s="144"/>
    </row>
    <row r="37" spans="2:5" ht="17.399999999999999" x14ac:dyDescent="0.3">
      <c r="B37" s="30"/>
      <c r="C37" s="211" t="s">
        <v>34</v>
      </c>
      <c r="D37" s="211"/>
      <c r="E37" s="144"/>
    </row>
    <row r="38" spans="2:5" ht="17.399999999999999" x14ac:dyDescent="0.3">
      <c r="B38" s="30"/>
      <c r="C38" s="211" t="s">
        <v>36</v>
      </c>
      <c r="D38" s="211"/>
      <c r="E38" s="144"/>
    </row>
    <row r="39" spans="2:5" ht="17.399999999999999" x14ac:dyDescent="0.3">
      <c r="B39" s="30"/>
      <c r="C39" s="211" t="s">
        <v>35</v>
      </c>
      <c r="D39" s="211"/>
      <c r="E39" s="144"/>
    </row>
    <row r="40" spans="2:5" x14ac:dyDescent="0.25">
      <c r="B40" s="31"/>
      <c r="C40" s="95"/>
      <c r="D40" s="96" t="str">
        <f>Risikoanalyse!G95</f>
        <v>Autor: www.uwe-loose.de</v>
      </c>
      <c r="E40" s="147"/>
    </row>
  </sheetData>
  <sheetProtection algorithmName="SHA-512" hashValue="WhgtYqIF6Wav2PdXBITPYt69SDEDuFDCDuZpNfaanKdFj5e8qMunJaxGElvMpGWPQ/3YtLMI2OFO+SU65x/8FA==" saltValue="de6irh2l3MKldKAufCnjEw==" spinCount="100000" sheet="1" objects="1" scenarios="1"/>
  <mergeCells count="27">
    <mergeCell ref="C36:D36"/>
    <mergeCell ref="C37:D37"/>
    <mergeCell ref="C38:D38"/>
    <mergeCell ref="C39:D39"/>
    <mergeCell ref="C29:D29"/>
    <mergeCell ref="C30:D30"/>
    <mergeCell ref="C31:D31"/>
    <mergeCell ref="C33:D33"/>
    <mergeCell ref="C34:D34"/>
    <mergeCell ref="C35:D35"/>
    <mergeCell ref="C16:D16"/>
    <mergeCell ref="C28:D28"/>
    <mergeCell ref="C17:D17"/>
    <mergeCell ref="C18:D18"/>
    <mergeCell ref="C19:D19"/>
    <mergeCell ref="C20:D20"/>
    <mergeCell ref="C22:D22"/>
    <mergeCell ref="C23:D23"/>
    <mergeCell ref="C24:D24"/>
    <mergeCell ref="C25:D25"/>
    <mergeCell ref="C26:D26"/>
    <mergeCell ref="C27:D27"/>
    <mergeCell ref="C3:D3"/>
    <mergeCell ref="C6:D6"/>
    <mergeCell ref="C13:D13"/>
    <mergeCell ref="C14:D14"/>
    <mergeCell ref="C15:D1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orientation="landscape" horizontalDpi="1200" verticalDpi="1200" r:id="rId1"/>
  <headerFooter>
    <oddHeader>&amp;CSchätzung meines persönlichen Covid-19 Infektions- und Sterberisikos
&amp;"Arial,Fett"&amp;12-Würdigung der Ergebnisse-</oddHeader>
    <oddFooter>&amp;CSeite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2:I25"/>
  <sheetViews>
    <sheetView workbookViewId="0">
      <selection activeCell="E40" sqref="E40"/>
    </sheetView>
  </sheetViews>
  <sheetFormatPr baseColWidth="10" defaultColWidth="10.77734375" defaultRowHeight="13.2" x14ac:dyDescent="0.25"/>
  <cols>
    <col min="1" max="1" width="1.5546875" style="7" customWidth="1"/>
    <col min="2" max="2" width="22.21875" style="7" bestFit="1" customWidth="1"/>
    <col min="3" max="3" width="11.21875" style="7" customWidth="1"/>
    <col min="4" max="4" width="9.21875" style="7" bestFit="1" customWidth="1"/>
    <col min="5" max="5" width="11.21875" style="7" customWidth="1"/>
    <col min="6" max="6" width="6.44140625" style="7" bestFit="1" customWidth="1"/>
    <col min="7" max="8" width="9.77734375" style="7" bestFit="1" customWidth="1"/>
    <col min="9" max="9" width="1.5546875" style="7" customWidth="1"/>
    <col min="10" max="16384" width="10.77734375" style="7"/>
  </cols>
  <sheetData>
    <row r="2" spans="1:9" x14ac:dyDescent="0.25">
      <c r="A2" s="32"/>
      <c r="B2" s="32"/>
      <c r="C2" s="32"/>
      <c r="D2" s="32"/>
      <c r="E2" s="32"/>
      <c r="F2" s="32"/>
      <c r="G2" s="32"/>
      <c r="H2" s="32"/>
      <c r="I2" s="32"/>
    </row>
    <row r="3" spans="1:9" x14ac:dyDescent="0.25">
      <c r="A3" s="32"/>
      <c r="B3" s="213" t="s">
        <v>37</v>
      </c>
      <c r="C3" s="214"/>
      <c r="D3" s="62" t="s">
        <v>58</v>
      </c>
      <c r="E3" s="216" t="s">
        <v>37</v>
      </c>
      <c r="F3" s="216"/>
      <c r="G3" s="216"/>
      <c r="H3" s="217"/>
      <c r="I3" s="32"/>
    </row>
    <row r="4" spans="1:9" x14ac:dyDescent="0.25">
      <c r="A4" s="32"/>
      <c r="B4" s="38" t="s">
        <v>37</v>
      </c>
      <c r="C4" s="42" t="s">
        <v>56</v>
      </c>
      <c r="D4" s="36" t="s">
        <v>59</v>
      </c>
      <c r="E4" s="54" t="s">
        <v>57</v>
      </c>
      <c r="F4" s="42" t="s">
        <v>83</v>
      </c>
      <c r="G4" s="213" t="s">
        <v>17</v>
      </c>
      <c r="H4" s="215"/>
      <c r="I4" s="32"/>
    </row>
    <row r="5" spans="1:9" x14ac:dyDescent="0.25">
      <c r="A5" s="32"/>
      <c r="B5" s="39"/>
      <c r="C5" s="35"/>
      <c r="D5" s="36" t="s">
        <v>84</v>
      </c>
      <c r="E5" s="56"/>
      <c r="F5" s="36" t="s">
        <v>84</v>
      </c>
      <c r="G5" s="45" t="s">
        <v>54</v>
      </c>
      <c r="H5" s="45" t="s">
        <v>54</v>
      </c>
      <c r="I5" s="32"/>
    </row>
    <row r="6" spans="1:9" x14ac:dyDescent="0.25">
      <c r="A6" s="32"/>
      <c r="B6" s="40"/>
      <c r="C6" s="53"/>
      <c r="D6" s="37" t="s">
        <v>53</v>
      </c>
      <c r="E6" s="55"/>
      <c r="F6" s="37" t="s">
        <v>53</v>
      </c>
      <c r="G6" s="46" t="s">
        <v>58</v>
      </c>
      <c r="H6" s="43" t="s">
        <v>58</v>
      </c>
      <c r="I6" s="32"/>
    </row>
    <row r="7" spans="1:9" x14ac:dyDescent="0.25">
      <c r="A7" s="32"/>
      <c r="B7" s="57"/>
      <c r="C7" s="58" t="s">
        <v>98</v>
      </c>
      <c r="D7" s="61"/>
      <c r="E7" s="59" t="str">
        <f>IF(Risikoanalyse!$E$13=C7,C7,"")</f>
        <v/>
      </c>
      <c r="F7" s="59"/>
      <c r="G7" s="59"/>
      <c r="H7" s="60" t="str">
        <f t="shared" ref="H7:H16" si="0">IF(E7="","",G7)</f>
        <v/>
      </c>
      <c r="I7" s="32"/>
    </row>
    <row r="8" spans="1:9" x14ac:dyDescent="0.25">
      <c r="A8" s="32"/>
      <c r="B8" s="35" t="s">
        <v>38</v>
      </c>
      <c r="C8" s="25" t="s">
        <v>89</v>
      </c>
      <c r="D8" s="33">
        <f>330479/100</f>
        <v>3304.79</v>
      </c>
      <c r="E8" s="33" t="str">
        <f>IF(Risikoanalyse!$E$13=C8,C8,"")</f>
        <v>Baden-W.</v>
      </c>
      <c r="F8" s="33">
        <f t="shared" ref="F8:F23" si="1">IF(E8=C8,ROUND(D8,0),"")</f>
        <v>3305</v>
      </c>
      <c r="G8" s="33">
        <v>11069533</v>
      </c>
      <c r="H8" s="44">
        <f t="shared" si="0"/>
        <v>11069533</v>
      </c>
      <c r="I8" s="32"/>
    </row>
    <row r="9" spans="1:9" x14ac:dyDescent="0.25">
      <c r="A9" s="32"/>
      <c r="B9" s="35" t="s">
        <v>39</v>
      </c>
      <c r="C9" s="25" t="s">
        <v>39</v>
      </c>
      <c r="D9" s="33">
        <f>534832/100</f>
        <v>5348.32</v>
      </c>
      <c r="E9" s="33" t="str">
        <f>IF(Risikoanalyse!$E$13=C9,C9,"")</f>
        <v/>
      </c>
      <c r="F9" s="33" t="str">
        <f t="shared" si="1"/>
        <v/>
      </c>
      <c r="G9" s="33">
        <v>13076721</v>
      </c>
      <c r="H9" s="44" t="str">
        <f t="shared" si="0"/>
        <v/>
      </c>
      <c r="I9" s="32"/>
    </row>
    <row r="10" spans="1:9" x14ac:dyDescent="0.25">
      <c r="A10" s="32"/>
      <c r="B10" s="35" t="s">
        <v>42</v>
      </c>
      <c r="C10" s="25" t="s">
        <v>42</v>
      </c>
      <c r="D10" s="33">
        <f>49314/100</f>
        <v>493.14</v>
      </c>
      <c r="E10" s="33" t="str">
        <f>IF(Risikoanalyse!$E$13=C10,C10,"")</f>
        <v/>
      </c>
      <c r="F10" s="33" t="str">
        <f t="shared" si="1"/>
        <v/>
      </c>
      <c r="G10" s="33">
        <v>3644826</v>
      </c>
      <c r="H10" s="44" t="str">
        <f t="shared" si="0"/>
        <v/>
      </c>
      <c r="I10" s="32"/>
    </row>
    <row r="11" spans="1:9" x14ac:dyDescent="0.25">
      <c r="A11" s="32"/>
      <c r="B11" s="35" t="s">
        <v>46</v>
      </c>
      <c r="C11" s="25" t="s">
        <v>95</v>
      </c>
      <c r="D11" s="33">
        <f>201093/100</f>
        <v>2010.93</v>
      </c>
      <c r="E11" s="33" t="str">
        <f>IF(Risikoanalyse!$E$13=C11,C11,"")</f>
        <v/>
      </c>
      <c r="F11" s="33" t="str">
        <f t="shared" si="1"/>
        <v/>
      </c>
      <c r="G11" s="33">
        <v>2511917</v>
      </c>
      <c r="H11" s="44" t="str">
        <f t="shared" si="0"/>
        <v/>
      </c>
      <c r="I11" s="32"/>
    </row>
    <row r="12" spans="1:9" x14ac:dyDescent="0.25">
      <c r="A12" s="32"/>
      <c r="B12" s="35" t="s">
        <v>49</v>
      </c>
      <c r="C12" s="25" t="s">
        <v>49</v>
      </c>
      <c r="D12" s="33">
        <f>18496/100</f>
        <v>184.96</v>
      </c>
      <c r="E12" s="33" t="str">
        <f>IF(Risikoanalyse!$E$13=C12,C12,"")</f>
        <v/>
      </c>
      <c r="F12" s="33" t="str">
        <f t="shared" si="1"/>
        <v/>
      </c>
      <c r="G12" s="33">
        <v>682986</v>
      </c>
      <c r="H12" s="44" t="str">
        <f t="shared" si="0"/>
        <v/>
      </c>
      <c r="I12" s="32"/>
    </row>
    <row r="13" spans="1:9" x14ac:dyDescent="0.25">
      <c r="A13" s="32"/>
      <c r="B13" s="35" t="s">
        <v>45</v>
      </c>
      <c r="C13" s="25" t="s">
        <v>45</v>
      </c>
      <c r="D13" s="33">
        <f>35073/100</f>
        <v>350.73</v>
      </c>
      <c r="E13" s="33" t="str">
        <f>IF(Risikoanalyse!$E$13=C13,C13,"")</f>
        <v/>
      </c>
      <c r="F13" s="33" t="str">
        <f t="shared" si="1"/>
        <v/>
      </c>
      <c r="G13" s="33">
        <v>1841179</v>
      </c>
      <c r="H13" s="44" t="str">
        <f t="shared" si="0"/>
        <v/>
      </c>
      <c r="I13" s="32"/>
    </row>
    <row r="14" spans="1:9" x14ac:dyDescent="0.25">
      <c r="A14" s="32"/>
      <c r="B14" s="35" t="s">
        <v>41</v>
      </c>
      <c r="C14" s="25" t="s">
        <v>41</v>
      </c>
      <c r="D14" s="33">
        <f>196698/100</f>
        <v>1966.98</v>
      </c>
      <c r="E14" s="33" t="str">
        <f>IF(Risikoanalyse!$E$13=C14,C14,"")</f>
        <v/>
      </c>
      <c r="F14" s="33" t="str">
        <f t="shared" si="1"/>
        <v/>
      </c>
      <c r="G14" s="33">
        <v>6265809</v>
      </c>
      <c r="H14" s="44" t="str">
        <f t="shared" si="0"/>
        <v/>
      </c>
      <c r="I14" s="32"/>
    </row>
    <row r="15" spans="1:9" x14ac:dyDescent="0.25">
      <c r="A15" s="32"/>
      <c r="B15" s="35" t="s">
        <v>50</v>
      </c>
      <c r="C15" s="25" t="s">
        <v>90</v>
      </c>
      <c r="D15" s="33">
        <f>128950/100</f>
        <v>1289.5</v>
      </c>
      <c r="E15" s="33" t="str">
        <f>IF(Risikoanalyse!$E$13=C15,C15,"")</f>
        <v/>
      </c>
      <c r="F15" s="33" t="str">
        <f t="shared" si="1"/>
        <v/>
      </c>
      <c r="G15" s="33">
        <v>1609675</v>
      </c>
      <c r="H15" s="44" t="str">
        <f t="shared" si="0"/>
        <v/>
      </c>
      <c r="I15" s="32"/>
    </row>
    <row r="16" spans="1:9" x14ac:dyDescent="0.25">
      <c r="A16" s="32"/>
      <c r="B16" s="35" t="s">
        <v>40</v>
      </c>
      <c r="C16" s="25" t="s">
        <v>91</v>
      </c>
      <c r="D16" s="33">
        <f>446571/100</f>
        <v>4465.71</v>
      </c>
      <c r="E16" s="33" t="str">
        <f>IF(Risikoanalyse!$E$13=C16,C16,"")</f>
        <v/>
      </c>
      <c r="F16" s="33" t="str">
        <f t="shared" si="1"/>
        <v/>
      </c>
      <c r="G16" s="33">
        <v>7982448</v>
      </c>
      <c r="H16" s="44" t="str">
        <f t="shared" si="0"/>
        <v/>
      </c>
      <c r="I16" s="32"/>
    </row>
    <row r="17" spans="1:9" x14ac:dyDescent="0.25">
      <c r="A17" s="32"/>
      <c r="B17" s="35" t="s">
        <v>55</v>
      </c>
      <c r="C17" s="25" t="s">
        <v>55</v>
      </c>
      <c r="D17" s="33">
        <f>565798/100</f>
        <v>5657.98</v>
      </c>
      <c r="E17" s="33" t="str">
        <f>IF(Risikoanalyse!$E$13=C17,C17,"")</f>
        <v/>
      </c>
      <c r="F17" s="33" t="str">
        <f t="shared" si="1"/>
        <v/>
      </c>
      <c r="G17" s="33">
        <v>17932651</v>
      </c>
      <c r="H17" s="44" t="str">
        <f t="shared" ref="H17:H23" si="2">IF(E17="","",G17)</f>
        <v/>
      </c>
      <c r="I17" s="32"/>
    </row>
    <row r="18" spans="1:9" x14ac:dyDescent="0.25">
      <c r="A18" s="32"/>
      <c r="B18" s="35" t="s">
        <v>43</v>
      </c>
      <c r="C18" s="25" t="s">
        <v>92</v>
      </c>
      <c r="D18" s="33">
        <f>169347/100</f>
        <v>1693.47</v>
      </c>
      <c r="E18" s="33" t="str">
        <f>IF(Risikoanalyse!$E$13=C18,C18,"")</f>
        <v/>
      </c>
      <c r="F18" s="33" t="str">
        <f t="shared" si="1"/>
        <v/>
      </c>
      <c r="G18" s="33">
        <v>4084844</v>
      </c>
      <c r="H18" s="44" t="str">
        <f t="shared" si="2"/>
        <v/>
      </c>
      <c r="I18" s="32"/>
    </row>
    <row r="19" spans="1:9" x14ac:dyDescent="0.25">
      <c r="A19" s="32"/>
      <c r="B19" s="35" t="s">
        <v>51</v>
      </c>
      <c r="C19" s="25" t="s">
        <v>51</v>
      </c>
      <c r="D19" s="33">
        <f>39348/100</f>
        <v>393.48</v>
      </c>
      <c r="E19" s="33" t="str">
        <f>IF(Risikoanalyse!$E$13=C19,C19,"")</f>
        <v/>
      </c>
      <c r="F19" s="33" t="str">
        <f t="shared" si="1"/>
        <v/>
      </c>
      <c r="G19" s="33">
        <v>990509</v>
      </c>
      <c r="H19" s="44" t="str">
        <f t="shared" si="2"/>
        <v/>
      </c>
      <c r="I19" s="32"/>
    </row>
    <row r="20" spans="1:9" x14ac:dyDescent="0.25">
      <c r="A20" s="32"/>
      <c r="B20" s="35" t="s">
        <v>44</v>
      </c>
      <c r="C20" s="25" t="s">
        <v>44</v>
      </c>
      <c r="D20" s="33">
        <f>188186/100</f>
        <v>1881.86</v>
      </c>
      <c r="E20" s="33" t="str">
        <f>IF(Risikoanalyse!$E$13=C20,C20,"")</f>
        <v/>
      </c>
      <c r="F20" s="33" t="str">
        <f t="shared" si="1"/>
        <v/>
      </c>
      <c r="G20" s="33">
        <v>4077937</v>
      </c>
      <c r="H20" s="44" t="str">
        <f t="shared" si="2"/>
        <v/>
      </c>
      <c r="I20" s="32"/>
    </row>
    <row r="21" spans="1:9" x14ac:dyDescent="0.25">
      <c r="A21" s="32"/>
      <c r="B21" s="35" t="s">
        <v>48</v>
      </c>
      <c r="C21" s="25" t="s">
        <v>93</v>
      </c>
      <c r="D21" s="33">
        <f>156399/100</f>
        <v>1563.99</v>
      </c>
      <c r="E21" s="33" t="str">
        <f>IF(Risikoanalyse!$E$13=C21,C21,"")</f>
        <v/>
      </c>
      <c r="F21" s="33" t="str">
        <f t="shared" si="1"/>
        <v/>
      </c>
      <c r="G21" s="33">
        <v>2208321</v>
      </c>
      <c r="H21" s="44" t="str">
        <f t="shared" si="2"/>
        <v/>
      </c>
      <c r="I21" s="32"/>
    </row>
    <row r="22" spans="1:9" x14ac:dyDescent="0.25">
      <c r="A22" s="32"/>
      <c r="B22" s="35" t="s">
        <v>52</v>
      </c>
      <c r="C22" s="25" t="s">
        <v>94</v>
      </c>
      <c r="D22" s="33">
        <f>142436/100</f>
        <v>1424.36</v>
      </c>
      <c r="E22" s="33" t="str">
        <f>IF(Risikoanalyse!$E$13=C22,C22,"")</f>
        <v/>
      </c>
      <c r="F22" s="33" t="str">
        <f t="shared" si="1"/>
        <v/>
      </c>
      <c r="G22" s="33">
        <v>2896712</v>
      </c>
      <c r="H22" s="44" t="str">
        <f t="shared" si="2"/>
        <v/>
      </c>
      <c r="I22" s="32"/>
    </row>
    <row r="23" spans="1:9" x14ac:dyDescent="0.25">
      <c r="A23" s="32"/>
      <c r="B23" s="35" t="s">
        <v>47</v>
      </c>
      <c r="C23" s="25" t="s">
        <v>47</v>
      </c>
      <c r="D23" s="33">
        <f>123777/100</f>
        <v>1237.77</v>
      </c>
      <c r="E23" s="33" t="str">
        <f>IF(Risikoanalyse!$E$13=C23,C23,"")</f>
        <v/>
      </c>
      <c r="F23" s="33" t="str">
        <f t="shared" si="1"/>
        <v/>
      </c>
      <c r="G23" s="33">
        <v>2143145</v>
      </c>
      <c r="H23" s="44" t="str">
        <f t="shared" si="2"/>
        <v/>
      </c>
      <c r="I23" s="32"/>
    </row>
    <row r="24" spans="1:9" x14ac:dyDescent="0.25">
      <c r="A24" s="32"/>
      <c r="B24" s="34"/>
      <c r="C24" s="34"/>
      <c r="D24" s="34"/>
      <c r="E24" s="47"/>
      <c r="F24" s="41">
        <f>SUM(F7:F23)</f>
        <v>3305</v>
      </c>
      <c r="G24" s="41">
        <f>SUM(G8:G23)</f>
        <v>83019213</v>
      </c>
      <c r="H24" s="41">
        <f>SUM(H7:H23)</f>
        <v>11069533</v>
      </c>
      <c r="I24" s="32"/>
    </row>
    <row r="25" spans="1:9" x14ac:dyDescent="0.25">
      <c r="A25" s="32"/>
      <c r="B25" s="32"/>
      <c r="C25" s="32"/>
      <c r="D25" s="32"/>
      <c r="E25" s="32"/>
      <c r="F25" s="32"/>
      <c r="G25" s="25"/>
      <c r="H25" s="32"/>
      <c r="I25" s="32"/>
    </row>
  </sheetData>
  <sheetProtection algorithmName="SHA-512" hashValue="6VxSVXzwGq0ghu8ihc65rlb7kLj8JIIgrIFp579/2cd+BHYXRnFbw3eQNjMudLRXdypsU7zgKBel8rUirF0jzQ==" saltValue="y1EBqKpSGfItODelq4eQmw==" spinCount="100000" sheet="1" objects="1" scenarios="1"/>
  <mergeCells count="3">
    <mergeCell ref="B3:C3"/>
    <mergeCell ref="G4:H4"/>
    <mergeCell ref="E3:H3"/>
  </mergeCells>
  <hyperlinks>
    <hyperlink ref="D3" r:id="rId1" location="sprg239478" display="Quelle: Destatis" xr:uid="{00000000-0004-0000-0200-000000000000}"/>
    <hyperlink ref="H6" r:id="rId2" xr:uid="{00000000-0004-0000-0200-000001000000}"/>
    <hyperlink ref="G6" r:id="rId3" xr:uid="{00000000-0004-0000-0200-000002000000}"/>
  </hyperlinks>
  <pageMargins left="0.7" right="0.7" top="0.78740157499999996" bottom="0.78740157499999996" header="0.3" footer="0.3"/>
  <pageSetup paperSize="9" orientation="portrait" horizontalDpi="1200" verticalDpi="1200" r:id="rId4"/>
  <ignoredErrors>
    <ignoredError sqref="G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6</vt:i4>
      </vt:variant>
    </vt:vector>
  </HeadingPairs>
  <TitlesOfParts>
    <vt:vector size="10" baseType="lpstr">
      <vt:lpstr>Risikoanalyse</vt:lpstr>
      <vt:lpstr>Querdenken</vt:lpstr>
      <vt:lpstr>Würdigung</vt:lpstr>
      <vt:lpstr>allg.Daten</vt:lpstr>
      <vt:lpstr>Querdenken!Druckbereich</vt:lpstr>
      <vt:lpstr>Risikoanalyse!Druckbereich</vt:lpstr>
      <vt:lpstr>allg.Daten!Print_Area</vt:lpstr>
      <vt:lpstr>Querdenken!Print_Area</vt:lpstr>
      <vt:lpstr>Risikoanalyse!Print_Area</vt:lpstr>
      <vt:lpstr>Würdigung!Print_Area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Loose</dc:creator>
  <cp:lastModifiedBy>Jürgen Noe</cp:lastModifiedBy>
  <cp:lastPrinted>2020-06-19T13:49:30Z</cp:lastPrinted>
  <dcterms:created xsi:type="dcterms:W3CDTF">2020-05-26T07:00:34Z</dcterms:created>
  <dcterms:modified xsi:type="dcterms:W3CDTF">2020-07-14T12:49:32Z</dcterms:modified>
</cp:coreProperties>
</file>